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600" yWindow="60" windowWidth="12645" windowHeight="12510" tabRatio="835"/>
  </bookViews>
  <sheets>
    <sheet name="Raw Data" sheetId="3" r:id="rId1"/>
    <sheet name="Compilation" sheetId="4" r:id="rId2"/>
    <sheet name="Compilation 2" sheetId="5" r:id="rId3"/>
    <sheet name="Table" sheetId="6" r:id="rId4"/>
  </sheets>
  <definedNames>
    <definedName name="_xlnm.Print_Area" localSheetId="1">Compilation!$A$1:$O$44</definedName>
    <definedName name="_xlnm.Print_Area" localSheetId="2">'Compilation 2'!$A$1:$O$54</definedName>
    <definedName name="_xlnm.Print_Area" localSheetId="0">'Raw Data'!$A$1:$M$162</definedName>
    <definedName name="_xlnm.Print_Area" localSheetId="3">Table!$A$1:$X$138</definedName>
    <definedName name="_xlnm.Print_Titles" localSheetId="0">'Raw Data'!$1:$17</definedName>
    <definedName name="_xlnm.Print_Titles" localSheetId="3">Table!$1:$16</definedName>
  </definedNames>
  <calcPr calcId="145621"/>
</workbook>
</file>

<file path=xl/calcChain.xml><?xml version="1.0" encoding="utf-8"?>
<calcChain xmlns="http://schemas.openxmlformats.org/spreadsheetml/2006/main">
  <c r="AC16" i="6" l="1"/>
  <c r="AE10" i="6"/>
  <c r="AC10" i="6"/>
  <c r="C5" i="4"/>
  <c r="AE9" i="6"/>
  <c r="AD9" i="6"/>
  <c r="AC9" i="6"/>
  <c r="C4" i="4"/>
  <c r="C3" i="5"/>
  <c r="O2" i="4"/>
  <c r="C2" i="5"/>
  <c r="K6" i="5"/>
  <c r="K5" i="5"/>
  <c r="K4" i="5"/>
  <c r="K2" i="5"/>
  <c r="K6" i="4"/>
  <c r="K5" i="4"/>
  <c r="K4" i="4"/>
  <c r="C3" i="4"/>
  <c r="K2" i="4"/>
  <c r="M30" i="3"/>
  <c r="I11" i="3"/>
  <c r="I10" i="3"/>
  <c r="I9" i="3"/>
  <c r="A8" i="3"/>
  <c r="I7" i="3"/>
  <c r="O3" i="5" l="1"/>
  <c r="M8" i="3"/>
  <c r="O3" i="4"/>
  <c r="C5" i="5"/>
  <c r="C2" i="4"/>
  <c r="O2" i="5"/>
  <c r="A7" i="3"/>
  <c r="H23" i="3"/>
  <c r="K23" i="3" s="1"/>
  <c r="C4" i="5"/>
  <c r="M7" i="3"/>
  <c r="A9" i="3"/>
  <c r="A10" i="3"/>
  <c r="E32" i="6"/>
  <c r="E34" i="6"/>
  <c r="E36" i="6"/>
  <c r="E38" i="6"/>
  <c r="E40" i="6"/>
  <c r="E42" i="6"/>
  <c r="E44" i="6"/>
  <c r="E46" i="6"/>
  <c r="E48" i="6"/>
  <c r="E50" i="6"/>
  <c r="E52" i="6"/>
  <c r="E54" i="6"/>
  <c r="E56" i="6"/>
  <c r="E58" i="6"/>
  <c r="E60" i="6"/>
  <c r="E62" i="6"/>
  <c r="E64" i="6"/>
  <c r="E66" i="6"/>
  <c r="E68" i="6"/>
  <c r="E70" i="6"/>
  <c r="E72" i="6"/>
  <c r="E74" i="6"/>
  <c r="E76" i="6"/>
  <c r="E78" i="6"/>
  <c r="E80" i="6"/>
  <c r="E82" i="6"/>
  <c r="E84" i="6"/>
  <c r="E86" i="6"/>
  <c r="E88" i="6"/>
  <c r="E90" i="6"/>
  <c r="E94" i="6"/>
  <c r="E96" i="6"/>
  <c r="E98" i="6"/>
  <c r="E102" i="6"/>
  <c r="E104" i="6"/>
  <c r="E106" i="6"/>
  <c r="E110" i="6"/>
  <c r="E112" i="6"/>
  <c r="E114" i="6"/>
  <c r="E118" i="6"/>
  <c r="E120" i="6"/>
  <c r="E122" i="6"/>
  <c r="E124" i="6"/>
  <c r="E126" i="6"/>
  <c r="E132" i="6"/>
  <c r="E134" i="6"/>
  <c r="E31" i="6"/>
  <c r="E35" i="6"/>
  <c r="E61" i="6"/>
  <c r="E77" i="6"/>
  <c r="E123" i="6"/>
  <c r="E125" i="6"/>
  <c r="E129" i="6"/>
  <c r="E133" i="6"/>
  <c r="E136" i="6"/>
  <c r="E130" i="6"/>
  <c r="E128" i="6"/>
  <c r="E117" i="6"/>
  <c r="E116" i="6"/>
  <c r="E113" i="6"/>
  <c r="E109" i="6"/>
  <c r="E108" i="6"/>
  <c r="E105" i="6"/>
  <c r="E101" i="6"/>
  <c r="E100" i="6"/>
  <c r="E97" i="6"/>
  <c r="E93" i="6"/>
  <c r="E92" i="6"/>
  <c r="E121" i="6"/>
  <c r="E89" i="6"/>
  <c r="E85" i="6"/>
  <c r="E81" i="6"/>
  <c r="E73" i="6"/>
  <c r="E69" i="6"/>
  <c r="E65" i="6"/>
  <c r="E57" i="6"/>
  <c r="E53" i="6"/>
  <c r="E49" i="6"/>
  <c r="E29" i="6"/>
  <c r="E30" i="6"/>
  <c r="E33" i="6"/>
  <c r="E19" i="6"/>
  <c r="E21" i="6"/>
  <c r="E23" i="6"/>
  <c r="E25" i="6"/>
  <c r="E27" i="6"/>
  <c r="E37" i="6"/>
  <c r="E39" i="6"/>
  <c r="E41" i="6"/>
  <c r="E43" i="6"/>
  <c r="E45" i="6"/>
  <c r="E47" i="6"/>
  <c r="L23" i="3" l="1"/>
  <c r="F47" i="6"/>
  <c r="I48" i="6"/>
  <c r="AN22" i="6"/>
  <c r="F45" i="6"/>
  <c r="I46" i="6"/>
  <c r="F43" i="6"/>
  <c r="I44" i="6"/>
  <c r="F41" i="6"/>
  <c r="I42" i="6"/>
  <c r="F39" i="6"/>
  <c r="I40" i="6"/>
  <c r="AN24" i="6"/>
  <c r="F37" i="6"/>
  <c r="I38" i="6"/>
  <c r="F27" i="6"/>
  <c r="F23" i="6"/>
  <c r="F19" i="6"/>
  <c r="I36" i="6"/>
  <c r="F35" i="6"/>
  <c r="F33" i="6"/>
  <c r="I34" i="6"/>
  <c r="F31" i="6"/>
  <c r="I32" i="6"/>
  <c r="F29" i="6"/>
  <c r="AN25" i="6"/>
  <c r="I30" i="6"/>
  <c r="N28" i="6"/>
  <c r="P28" i="6" s="1"/>
  <c r="L28" i="6"/>
  <c r="O28" i="6" s="1"/>
  <c r="M28" i="6"/>
  <c r="N26" i="6"/>
  <c r="P26" i="6" s="1"/>
  <c r="L26" i="6"/>
  <c r="O26" i="6" s="1"/>
  <c r="M26" i="6"/>
  <c r="N24" i="6"/>
  <c r="P24" i="6" s="1"/>
  <c r="L24" i="6"/>
  <c r="O24" i="6" s="1"/>
  <c r="M24" i="6"/>
  <c r="N22" i="6"/>
  <c r="P22" i="6" s="1"/>
  <c r="L22" i="6"/>
  <c r="O22" i="6" s="1"/>
  <c r="M22" i="6"/>
  <c r="N20" i="6"/>
  <c r="P20" i="6" s="1"/>
  <c r="L20" i="6"/>
  <c r="O20" i="6" s="1"/>
  <c r="M20" i="6"/>
  <c r="N18" i="6"/>
  <c r="P18" i="6" s="1"/>
  <c r="L18" i="6"/>
  <c r="O18" i="6" s="1"/>
  <c r="M18" i="6"/>
  <c r="F50" i="6"/>
  <c r="F52" i="6"/>
  <c r="I53" i="6"/>
  <c r="F54" i="6"/>
  <c r="F56" i="6"/>
  <c r="I57" i="6"/>
  <c r="F58" i="6"/>
  <c r="F60" i="6"/>
  <c r="I61" i="6"/>
  <c r="F62" i="6"/>
  <c r="F64" i="6"/>
  <c r="I65" i="6"/>
  <c r="AN20" i="6"/>
  <c r="F66" i="6"/>
  <c r="F68" i="6"/>
  <c r="I69" i="6"/>
  <c r="AN19" i="6"/>
  <c r="F70" i="6"/>
  <c r="F72" i="6"/>
  <c r="I73" i="6"/>
  <c r="F74" i="6"/>
  <c r="F76" i="6"/>
  <c r="I77" i="6"/>
  <c r="F78" i="6"/>
  <c r="F80" i="6"/>
  <c r="I81" i="6"/>
  <c r="F82" i="6"/>
  <c r="F84" i="6"/>
  <c r="I85" i="6"/>
  <c r="F86" i="6"/>
  <c r="F88" i="6"/>
  <c r="I89" i="6"/>
  <c r="F90" i="6"/>
  <c r="F121" i="6"/>
  <c r="I122" i="6"/>
  <c r="F123" i="6"/>
  <c r="I124" i="6"/>
  <c r="I93" i="6"/>
  <c r="F92" i="6"/>
  <c r="F94" i="6"/>
  <c r="I97" i="6"/>
  <c r="F96" i="6"/>
  <c r="F98" i="6"/>
  <c r="I101" i="6"/>
  <c r="F100" i="6"/>
  <c r="F102" i="6"/>
  <c r="I105" i="6"/>
  <c r="F104" i="6"/>
  <c r="F106" i="6"/>
  <c r="I109" i="6"/>
  <c r="F108" i="6"/>
  <c r="F110" i="6"/>
  <c r="I113" i="6"/>
  <c r="F112" i="6"/>
  <c r="F114" i="6"/>
  <c r="I117" i="6"/>
  <c r="F116" i="6"/>
  <c r="F118" i="6"/>
  <c r="F124" i="6"/>
  <c r="I125" i="6"/>
  <c r="F126" i="6"/>
  <c r="F128" i="6"/>
  <c r="I129" i="6"/>
  <c r="F130" i="6"/>
  <c r="F132" i="6"/>
  <c r="I133" i="6"/>
  <c r="F134" i="6"/>
  <c r="F136" i="6"/>
  <c r="N135" i="6"/>
  <c r="P135" i="6" s="1"/>
  <c r="L135" i="6"/>
  <c r="O135" i="6" s="1"/>
  <c r="M135" i="6"/>
  <c r="N131" i="6"/>
  <c r="P131" i="6" s="1"/>
  <c r="L131" i="6"/>
  <c r="O131" i="6" s="1"/>
  <c r="M131" i="6"/>
  <c r="N127" i="6"/>
  <c r="P127" i="6" s="1"/>
  <c r="L127" i="6"/>
  <c r="O127" i="6" s="1"/>
  <c r="M127" i="6"/>
  <c r="N123" i="6"/>
  <c r="P123" i="6" s="1"/>
  <c r="L123" i="6"/>
  <c r="O123" i="6" s="1"/>
  <c r="M123" i="6"/>
  <c r="M119" i="6"/>
  <c r="N119" i="6"/>
  <c r="P119" i="6" s="1"/>
  <c r="L119" i="6"/>
  <c r="O119" i="6" s="1"/>
  <c r="M115" i="6"/>
  <c r="N115" i="6"/>
  <c r="P115" i="6" s="1"/>
  <c r="L115" i="6"/>
  <c r="O115" i="6" s="1"/>
  <c r="M111" i="6"/>
  <c r="N111" i="6"/>
  <c r="P111" i="6" s="1"/>
  <c r="L111" i="6"/>
  <c r="O111" i="6" s="1"/>
  <c r="M107" i="6"/>
  <c r="N107" i="6"/>
  <c r="P107" i="6" s="1"/>
  <c r="L107" i="6"/>
  <c r="O107" i="6" s="1"/>
  <c r="M103" i="6"/>
  <c r="N103" i="6"/>
  <c r="P103" i="6" s="1"/>
  <c r="L103" i="6"/>
  <c r="O103" i="6" s="1"/>
  <c r="M99" i="6"/>
  <c r="N99" i="6"/>
  <c r="P99" i="6" s="1"/>
  <c r="L99" i="6"/>
  <c r="O99" i="6" s="1"/>
  <c r="M95" i="6"/>
  <c r="N95" i="6"/>
  <c r="P95" i="6" s="1"/>
  <c r="L95" i="6"/>
  <c r="O95" i="6" s="1"/>
  <c r="M91" i="6"/>
  <c r="L91" i="6"/>
  <c r="O91" i="6" s="1"/>
  <c r="N91" i="6"/>
  <c r="P91" i="6" s="1"/>
  <c r="N87" i="6"/>
  <c r="P87" i="6" s="1"/>
  <c r="L87" i="6"/>
  <c r="O87" i="6" s="1"/>
  <c r="M87" i="6"/>
  <c r="N83" i="6"/>
  <c r="P83" i="6" s="1"/>
  <c r="L83" i="6"/>
  <c r="O83" i="6" s="1"/>
  <c r="M83" i="6"/>
  <c r="N79" i="6"/>
  <c r="P79" i="6" s="1"/>
  <c r="L79" i="6"/>
  <c r="O79" i="6" s="1"/>
  <c r="M79" i="6"/>
  <c r="N75" i="6"/>
  <c r="P75" i="6" s="1"/>
  <c r="L75" i="6"/>
  <c r="O75" i="6" s="1"/>
  <c r="M75" i="6"/>
  <c r="N71" i="6"/>
  <c r="P71" i="6" s="1"/>
  <c r="L71" i="6"/>
  <c r="O71" i="6" s="1"/>
  <c r="M71" i="6"/>
  <c r="N67" i="6"/>
  <c r="P67" i="6" s="1"/>
  <c r="L67" i="6"/>
  <c r="O67" i="6" s="1"/>
  <c r="M67" i="6"/>
  <c r="N63" i="6"/>
  <c r="P63" i="6" s="1"/>
  <c r="L63" i="6"/>
  <c r="O63" i="6" s="1"/>
  <c r="M63" i="6"/>
  <c r="N59" i="6"/>
  <c r="P59" i="6" s="1"/>
  <c r="L59" i="6"/>
  <c r="O59" i="6" s="1"/>
  <c r="M59" i="6"/>
  <c r="N55" i="6"/>
  <c r="P55" i="6" s="1"/>
  <c r="L55" i="6"/>
  <c r="O55" i="6" s="1"/>
  <c r="M55" i="6"/>
  <c r="N51" i="6"/>
  <c r="P51" i="6" s="1"/>
  <c r="L51" i="6"/>
  <c r="O51" i="6" s="1"/>
  <c r="M51" i="6"/>
  <c r="N47" i="6"/>
  <c r="P47" i="6" s="1"/>
  <c r="L47" i="6"/>
  <c r="O47" i="6" s="1"/>
  <c r="M47" i="6"/>
  <c r="N43" i="6"/>
  <c r="P43" i="6" s="1"/>
  <c r="L43" i="6"/>
  <c r="O43" i="6" s="1"/>
  <c r="M43" i="6"/>
  <c r="N39" i="6"/>
  <c r="P39" i="6" s="1"/>
  <c r="L39" i="6"/>
  <c r="O39" i="6" s="1"/>
  <c r="M39" i="6"/>
  <c r="N35" i="6"/>
  <c r="P35" i="6" s="1"/>
  <c r="L35" i="6"/>
  <c r="O35" i="6" s="1"/>
  <c r="M35" i="6"/>
  <c r="N31" i="6"/>
  <c r="P31" i="6" s="1"/>
  <c r="L31" i="6"/>
  <c r="O31" i="6" s="1"/>
  <c r="M31" i="6"/>
  <c r="M27" i="6"/>
  <c r="N27" i="6"/>
  <c r="P27" i="6" s="1"/>
  <c r="L27" i="6"/>
  <c r="O27" i="6" s="1"/>
  <c r="M23" i="6"/>
  <c r="N23" i="6"/>
  <c r="P23" i="6" s="1"/>
  <c r="L23" i="6"/>
  <c r="O23" i="6" s="1"/>
  <c r="M19" i="6"/>
  <c r="N19" i="6"/>
  <c r="P19" i="6" s="1"/>
  <c r="L19" i="6"/>
  <c r="O19" i="6" s="1"/>
  <c r="F48" i="6"/>
  <c r="I49" i="6"/>
  <c r="F46" i="6"/>
  <c r="I47" i="6"/>
  <c r="F44" i="6"/>
  <c r="I45" i="6"/>
  <c r="F42" i="6"/>
  <c r="I43" i="6"/>
  <c r="AN23" i="6"/>
  <c r="F40" i="6"/>
  <c r="I41" i="6"/>
  <c r="F38" i="6"/>
  <c r="I39" i="6"/>
  <c r="F36" i="6"/>
  <c r="I37" i="6"/>
  <c r="F25" i="6"/>
  <c r="AN26" i="6"/>
  <c r="F21" i="6"/>
  <c r="F34" i="6"/>
  <c r="I35" i="6"/>
  <c r="F32" i="6"/>
  <c r="I33" i="6"/>
  <c r="F30" i="6"/>
  <c r="I31" i="6"/>
  <c r="E28" i="6"/>
  <c r="I28" i="6" s="1"/>
  <c r="E26" i="6"/>
  <c r="E24" i="6"/>
  <c r="E22" i="6"/>
  <c r="E20" i="6"/>
  <c r="I20" i="6" s="1"/>
  <c r="E18" i="6"/>
  <c r="F49" i="6"/>
  <c r="I50" i="6"/>
  <c r="E51" i="6"/>
  <c r="F53" i="6"/>
  <c r="I54" i="6"/>
  <c r="E55" i="6"/>
  <c r="F57" i="6"/>
  <c r="I58" i="6"/>
  <c r="E59" i="6"/>
  <c r="F61" i="6"/>
  <c r="I62" i="6"/>
  <c r="E63" i="6"/>
  <c r="F65" i="6"/>
  <c r="I66" i="6"/>
  <c r="E67" i="6"/>
  <c r="F69" i="6"/>
  <c r="I70" i="6"/>
  <c r="E71" i="6"/>
  <c r="F73" i="6"/>
  <c r="I74" i="6"/>
  <c r="AN18" i="6"/>
  <c r="E75" i="6"/>
  <c r="I75" i="6" s="1"/>
  <c r="F77" i="6"/>
  <c r="I78" i="6"/>
  <c r="E79" i="6"/>
  <c r="I79" i="6" s="1"/>
  <c r="F81" i="6"/>
  <c r="I82" i="6"/>
  <c r="AN17" i="6"/>
  <c r="E83" i="6"/>
  <c r="F85" i="6"/>
  <c r="I86" i="6"/>
  <c r="E87" i="6"/>
  <c r="F89" i="6"/>
  <c r="I90" i="6"/>
  <c r="F120" i="6"/>
  <c r="I121" i="6"/>
  <c r="AN11" i="6"/>
  <c r="F122" i="6"/>
  <c r="I123" i="6"/>
  <c r="E91" i="6"/>
  <c r="I94" i="6"/>
  <c r="F93" i="6"/>
  <c r="E95" i="6"/>
  <c r="I98" i="6"/>
  <c r="F97" i="6"/>
  <c r="E99" i="6"/>
  <c r="I102" i="6"/>
  <c r="F101" i="6"/>
  <c r="E103" i="6"/>
  <c r="I106" i="6"/>
  <c r="F105" i="6"/>
  <c r="E107" i="6"/>
  <c r="I110" i="6"/>
  <c r="F109" i="6"/>
  <c r="E111" i="6"/>
  <c r="I114" i="6"/>
  <c r="F113" i="6"/>
  <c r="E115" i="6"/>
  <c r="I118" i="6"/>
  <c r="F117" i="6"/>
  <c r="AN12" i="6"/>
  <c r="E119" i="6"/>
  <c r="F125" i="6"/>
  <c r="I126" i="6"/>
  <c r="AN10" i="6"/>
  <c r="E127" i="6"/>
  <c r="I127" i="6" s="1"/>
  <c r="F129" i="6"/>
  <c r="I130" i="6"/>
  <c r="E131" i="6"/>
  <c r="I131" i="6" s="1"/>
  <c r="F133" i="6"/>
  <c r="I134" i="6"/>
  <c r="AN9" i="6"/>
  <c r="E135" i="6"/>
  <c r="N133" i="6"/>
  <c r="P133" i="6" s="1"/>
  <c r="L133" i="6"/>
  <c r="O133" i="6" s="1"/>
  <c r="M133" i="6"/>
  <c r="N129" i="6"/>
  <c r="P129" i="6" s="1"/>
  <c r="L129" i="6"/>
  <c r="O129" i="6" s="1"/>
  <c r="M129" i="6"/>
  <c r="N125" i="6"/>
  <c r="P125" i="6" s="1"/>
  <c r="L125" i="6"/>
  <c r="O125" i="6" s="1"/>
  <c r="M125" i="6"/>
  <c r="N121" i="6"/>
  <c r="P121" i="6" s="1"/>
  <c r="L121" i="6"/>
  <c r="O121" i="6" s="1"/>
  <c r="M121" i="6"/>
  <c r="M117" i="6"/>
  <c r="N117" i="6"/>
  <c r="P117" i="6" s="1"/>
  <c r="L117" i="6"/>
  <c r="O117" i="6" s="1"/>
  <c r="M113" i="6"/>
  <c r="N113" i="6"/>
  <c r="P113" i="6" s="1"/>
  <c r="L113" i="6"/>
  <c r="O113" i="6" s="1"/>
  <c r="M109" i="6"/>
  <c r="N109" i="6"/>
  <c r="P109" i="6" s="1"/>
  <c r="L109" i="6"/>
  <c r="O109" i="6" s="1"/>
  <c r="M105" i="6"/>
  <c r="N105" i="6"/>
  <c r="P105" i="6" s="1"/>
  <c r="L105" i="6"/>
  <c r="O105" i="6" s="1"/>
  <c r="M101" i="6"/>
  <c r="N101" i="6"/>
  <c r="P101" i="6" s="1"/>
  <c r="L101" i="6"/>
  <c r="O101" i="6" s="1"/>
  <c r="M97" i="6"/>
  <c r="N97" i="6"/>
  <c r="P97" i="6" s="1"/>
  <c r="L97" i="6"/>
  <c r="O97" i="6" s="1"/>
  <c r="M93" i="6"/>
  <c r="N93" i="6"/>
  <c r="P93" i="6" s="1"/>
  <c r="L93" i="6"/>
  <c r="O93" i="6" s="1"/>
  <c r="N89" i="6"/>
  <c r="P89" i="6" s="1"/>
  <c r="L89" i="6"/>
  <c r="O89" i="6" s="1"/>
  <c r="M89" i="6"/>
  <c r="N85" i="6"/>
  <c r="P85" i="6" s="1"/>
  <c r="L85" i="6"/>
  <c r="O85" i="6" s="1"/>
  <c r="M85" i="6"/>
  <c r="N81" i="6"/>
  <c r="P81" i="6" s="1"/>
  <c r="L81" i="6"/>
  <c r="O81" i="6" s="1"/>
  <c r="M81" i="6"/>
  <c r="N77" i="6"/>
  <c r="P77" i="6" s="1"/>
  <c r="L77" i="6"/>
  <c r="M77" i="6"/>
  <c r="N73" i="6"/>
  <c r="P73" i="6" s="1"/>
  <c r="L73" i="6"/>
  <c r="O73" i="6" s="1"/>
  <c r="M73" i="6"/>
  <c r="N69" i="6"/>
  <c r="P69" i="6" s="1"/>
  <c r="L69" i="6"/>
  <c r="O69" i="6" s="1"/>
  <c r="M69" i="6"/>
  <c r="N65" i="6"/>
  <c r="P65" i="6" s="1"/>
  <c r="L65" i="6"/>
  <c r="O65" i="6" s="1"/>
  <c r="M65" i="6"/>
  <c r="N61" i="6"/>
  <c r="P61" i="6" s="1"/>
  <c r="L61" i="6"/>
  <c r="O61" i="6" s="1"/>
  <c r="M61" i="6"/>
  <c r="N57" i="6"/>
  <c r="P57" i="6" s="1"/>
  <c r="L57" i="6"/>
  <c r="O57" i="6" s="1"/>
  <c r="M57" i="6"/>
  <c r="N53" i="6"/>
  <c r="P53" i="6" s="1"/>
  <c r="L53" i="6"/>
  <c r="O53" i="6" s="1"/>
  <c r="M53" i="6"/>
  <c r="N49" i="6"/>
  <c r="P49" i="6" s="1"/>
  <c r="L49" i="6"/>
  <c r="O49" i="6" s="1"/>
  <c r="M49" i="6"/>
  <c r="N45" i="6"/>
  <c r="P45" i="6" s="1"/>
  <c r="L45" i="6"/>
  <c r="O45" i="6" s="1"/>
  <c r="M45" i="6"/>
  <c r="N41" i="6"/>
  <c r="P41" i="6" s="1"/>
  <c r="L41" i="6"/>
  <c r="O41" i="6" s="1"/>
  <c r="M41" i="6"/>
  <c r="N37" i="6"/>
  <c r="P37" i="6" s="1"/>
  <c r="L37" i="6"/>
  <c r="O37" i="6" s="1"/>
  <c r="M37" i="6"/>
  <c r="N33" i="6"/>
  <c r="P33" i="6" s="1"/>
  <c r="L33" i="6"/>
  <c r="O33" i="6" s="1"/>
  <c r="M33" i="6"/>
  <c r="N29" i="6"/>
  <c r="P29" i="6" s="1"/>
  <c r="L29" i="6"/>
  <c r="O29" i="6" s="1"/>
  <c r="M29" i="6"/>
  <c r="M25" i="6"/>
  <c r="N25" i="6"/>
  <c r="P25" i="6" s="1"/>
  <c r="L25" i="6"/>
  <c r="O25" i="6" s="1"/>
  <c r="M21" i="6"/>
  <c r="N21" i="6"/>
  <c r="P21" i="6" s="1"/>
  <c r="L21" i="6"/>
  <c r="O21" i="6" s="1"/>
  <c r="N136" i="6"/>
  <c r="P136" i="6" s="1"/>
  <c r="L136" i="6"/>
  <c r="O136" i="6" s="1"/>
  <c r="M136" i="6"/>
  <c r="N134" i="6"/>
  <c r="P134" i="6" s="1"/>
  <c r="L134" i="6"/>
  <c r="O134" i="6" s="1"/>
  <c r="M134" i="6"/>
  <c r="N132" i="6"/>
  <c r="P132" i="6" s="1"/>
  <c r="L132" i="6"/>
  <c r="O132" i="6" s="1"/>
  <c r="M132" i="6"/>
  <c r="N130" i="6"/>
  <c r="P130" i="6" s="1"/>
  <c r="L130" i="6"/>
  <c r="O130" i="6" s="1"/>
  <c r="M130" i="6"/>
  <c r="N128" i="6"/>
  <c r="P128" i="6" s="1"/>
  <c r="L128" i="6"/>
  <c r="O128" i="6" s="1"/>
  <c r="M128" i="6"/>
  <c r="N126" i="6"/>
  <c r="P126" i="6" s="1"/>
  <c r="L126" i="6"/>
  <c r="O126" i="6" s="1"/>
  <c r="M126" i="6"/>
  <c r="N124" i="6"/>
  <c r="P124" i="6" s="1"/>
  <c r="L124" i="6"/>
  <c r="O124" i="6" s="1"/>
  <c r="M124" i="6"/>
  <c r="N122" i="6"/>
  <c r="P122" i="6" s="1"/>
  <c r="L122" i="6"/>
  <c r="O122" i="6" s="1"/>
  <c r="M122" i="6"/>
  <c r="N120" i="6"/>
  <c r="P120" i="6" s="1"/>
  <c r="L120" i="6"/>
  <c r="O120" i="6" s="1"/>
  <c r="M120" i="6"/>
  <c r="M118" i="6"/>
  <c r="N118" i="6"/>
  <c r="P118" i="6" s="1"/>
  <c r="L118" i="6"/>
  <c r="O118" i="6" s="1"/>
  <c r="M116" i="6"/>
  <c r="N116" i="6"/>
  <c r="P116" i="6" s="1"/>
  <c r="L116" i="6"/>
  <c r="O116" i="6" s="1"/>
  <c r="M114" i="6"/>
  <c r="N114" i="6"/>
  <c r="P114" i="6" s="1"/>
  <c r="L114" i="6"/>
  <c r="O114" i="6" s="1"/>
  <c r="M112" i="6"/>
  <c r="N112" i="6"/>
  <c r="P112" i="6" s="1"/>
  <c r="L112" i="6"/>
  <c r="O112" i="6" s="1"/>
  <c r="M110" i="6"/>
  <c r="N110" i="6"/>
  <c r="P110" i="6" s="1"/>
  <c r="L110" i="6"/>
  <c r="O110" i="6" s="1"/>
  <c r="M108" i="6"/>
  <c r="N108" i="6"/>
  <c r="P108" i="6" s="1"/>
  <c r="L108" i="6"/>
  <c r="O108" i="6" s="1"/>
  <c r="M106" i="6"/>
  <c r="N106" i="6"/>
  <c r="P106" i="6" s="1"/>
  <c r="L106" i="6"/>
  <c r="O106" i="6" s="1"/>
  <c r="M104" i="6"/>
  <c r="N104" i="6"/>
  <c r="P104" i="6" s="1"/>
  <c r="L104" i="6"/>
  <c r="O104" i="6" s="1"/>
  <c r="M102" i="6"/>
  <c r="N102" i="6"/>
  <c r="P102" i="6" s="1"/>
  <c r="L102" i="6"/>
  <c r="O102" i="6" s="1"/>
  <c r="M100" i="6"/>
  <c r="N100" i="6"/>
  <c r="P100" i="6" s="1"/>
  <c r="L100" i="6"/>
  <c r="O100" i="6" s="1"/>
  <c r="M98" i="6"/>
  <c r="N98" i="6"/>
  <c r="P98" i="6" s="1"/>
  <c r="L98" i="6"/>
  <c r="O98" i="6" s="1"/>
  <c r="M96" i="6"/>
  <c r="N96" i="6"/>
  <c r="P96" i="6" s="1"/>
  <c r="L96" i="6"/>
  <c r="O96" i="6" s="1"/>
  <c r="M94" i="6"/>
  <c r="N94" i="6"/>
  <c r="P94" i="6" s="1"/>
  <c r="L94" i="6"/>
  <c r="O94" i="6" s="1"/>
  <c r="M92" i="6"/>
  <c r="L92" i="6"/>
  <c r="O92" i="6" s="1"/>
  <c r="N92" i="6"/>
  <c r="P92" i="6" s="1"/>
  <c r="N90" i="6"/>
  <c r="P90" i="6" s="1"/>
  <c r="L90" i="6"/>
  <c r="O90" i="6" s="1"/>
  <c r="M90" i="6"/>
  <c r="N88" i="6"/>
  <c r="P88" i="6" s="1"/>
  <c r="L88" i="6"/>
  <c r="O88" i="6" s="1"/>
  <c r="M88" i="6"/>
  <c r="N86" i="6"/>
  <c r="P86" i="6" s="1"/>
  <c r="L86" i="6"/>
  <c r="O86" i="6" s="1"/>
  <c r="M86" i="6"/>
  <c r="N84" i="6"/>
  <c r="P84" i="6" s="1"/>
  <c r="L84" i="6"/>
  <c r="O84" i="6" s="1"/>
  <c r="M84" i="6"/>
  <c r="N82" i="6"/>
  <c r="P82" i="6" s="1"/>
  <c r="L82" i="6"/>
  <c r="O82" i="6" s="1"/>
  <c r="M82" i="6"/>
  <c r="N80" i="6"/>
  <c r="P80" i="6" s="1"/>
  <c r="L80" i="6"/>
  <c r="O80" i="6" s="1"/>
  <c r="M80" i="6"/>
  <c r="N78" i="6"/>
  <c r="P78" i="6" s="1"/>
  <c r="L78" i="6"/>
  <c r="O78" i="6" s="1"/>
  <c r="M78" i="6"/>
  <c r="N76" i="6"/>
  <c r="P76" i="6" s="1"/>
  <c r="L76" i="6"/>
  <c r="O76" i="6" s="1"/>
  <c r="M76" i="6"/>
  <c r="N74" i="6"/>
  <c r="P74" i="6" s="1"/>
  <c r="L74" i="6"/>
  <c r="O74" i="6" s="1"/>
  <c r="M74" i="6"/>
  <c r="N72" i="6"/>
  <c r="P72" i="6" s="1"/>
  <c r="L72" i="6"/>
  <c r="O72" i="6" s="1"/>
  <c r="M72" i="6"/>
  <c r="N70" i="6"/>
  <c r="P70" i="6" s="1"/>
  <c r="L70" i="6"/>
  <c r="O70" i="6" s="1"/>
  <c r="M70" i="6"/>
  <c r="N68" i="6"/>
  <c r="P68" i="6" s="1"/>
  <c r="L68" i="6"/>
  <c r="O68" i="6" s="1"/>
  <c r="M68" i="6"/>
  <c r="N66" i="6"/>
  <c r="P66" i="6" s="1"/>
  <c r="L66" i="6"/>
  <c r="O66" i="6" s="1"/>
  <c r="M66" i="6"/>
  <c r="N64" i="6"/>
  <c r="P64" i="6" s="1"/>
  <c r="L64" i="6"/>
  <c r="O64" i="6" s="1"/>
  <c r="M64" i="6"/>
  <c r="N62" i="6"/>
  <c r="P62" i="6" s="1"/>
  <c r="L62" i="6"/>
  <c r="O62" i="6" s="1"/>
  <c r="M62" i="6"/>
  <c r="N60" i="6"/>
  <c r="P60" i="6" s="1"/>
  <c r="L60" i="6"/>
  <c r="O60" i="6" s="1"/>
  <c r="M60" i="6"/>
  <c r="N58" i="6"/>
  <c r="P58" i="6" s="1"/>
  <c r="L58" i="6"/>
  <c r="O58" i="6" s="1"/>
  <c r="M58" i="6"/>
  <c r="N56" i="6"/>
  <c r="P56" i="6" s="1"/>
  <c r="L56" i="6"/>
  <c r="O56" i="6" s="1"/>
  <c r="M56" i="6"/>
  <c r="N54" i="6"/>
  <c r="P54" i="6" s="1"/>
  <c r="L54" i="6"/>
  <c r="O54" i="6" s="1"/>
  <c r="M54" i="6"/>
  <c r="N52" i="6"/>
  <c r="P52" i="6" s="1"/>
  <c r="L52" i="6"/>
  <c r="O52" i="6" s="1"/>
  <c r="M52" i="6"/>
  <c r="N50" i="6"/>
  <c r="P50" i="6" s="1"/>
  <c r="L50" i="6"/>
  <c r="O50" i="6" s="1"/>
  <c r="M50" i="6"/>
  <c r="N48" i="6"/>
  <c r="P48" i="6" s="1"/>
  <c r="L48" i="6"/>
  <c r="O48" i="6" s="1"/>
  <c r="M48" i="6"/>
  <c r="N46" i="6"/>
  <c r="P46" i="6" s="1"/>
  <c r="L46" i="6"/>
  <c r="O46" i="6" s="1"/>
  <c r="M46" i="6"/>
  <c r="N44" i="6"/>
  <c r="P44" i="6" s="1"/>
  <c r="L44" i="6"/>
  <c r="O44" i="6" s="1"/>
  <c r="M44" i="6"/>
  <c r="N42" i="6"/>
  <c r="P42" i="6" s="1"/>
  <c r="L42" i="6"/>
  <c r="O42" i="6" s="1"/>
  <c r="M42" i="6"/>
  <c r="N40" i="6"/>
  <c r="P40" i="6" s="1"/>
  <c r="L40" i="6"/>
  <c r="O40" i="6" s="1"/>
  <c r="M40" i="6"/>
  <c r="N38" i="6"/>
  <c r="P38" i="6" s="1"/>
  <c r="L38" i="6"/>
  <c r="O38" i="6" s="1"/>
  <c r="M38" i="6"/>
  <c r="N36" i="6"/>
  <c r="P36" i="6" s="1"/>
  <c r="L36" i="6"/>
  <c r="O36" i="6" s="1"/>
  <c r="M36" i="6"/>
  <c r="N34" i="6"/>
  <c r="P34" i="6" s="1"/>
  <c r="L34" i="6"/>
  <c r="O34" i="6" s="1"/>
  <c r="M34" i="6"/>
  <c r="N32" i="6"/>
  <c r="P32" i="6" s="1"/>
  <c r="L32" i="6"/>
  <c r="O32" i="6" s="1"/>
  <c r="M32" i="6"/>
  <c r="N30" i="6"/>
  <c r="P30" i="6" s="1"/>
  <c r="L30" i="6"/>
  <c r="O30" i="6" s="1"/>
  <c r="M30" i="6"/>
  <c r="O77" i="6" l="1"/>
  <c r="F135" i="6"/>
  <c r="I136" i="6"/>
  <c r="AN8" i="6"/>
  <c r="I120" i="6"/>
  <c r="F119" i="6"/>
  <c r="F87" i="6"/>
  <c r="I88" i="6"/>
  <c r="F83" i="6"/>
  <c r="I84" i="6"/>
  <c r="F71" i="6"/>
  <c r="I72" i="6"/>
  <c r="F67" i="6"/>
  <c r="I68" i="6"/>
  <c r="F63" i="6"/>
  <c r="I64" i="6"/>
  <c r="F59" i="6"/>
  <c r="I60" i="6"/>
  <c r="F55" i="6"/>
  <c r="I56" i="6"/>
  <c r="AN21" i="6"/>
  <c r="F51" i="6"/>
  <c r="I52" i="6"/>
  <c r="AN27" i="6"/>
  <c r="I19" i="6"/>
  <c r="F18" i="6"/>
  <c r="I18" i="6"/>
  <c r="I23" i="6"/>
  <c r="F22" i="6"/>
  <c r="I27" i="6"/>
  <c r="F26" i="6"/>
  <c r="I22" i="6"/>
  <c r="I26" i="6"/>
  <c r="I135" i="6"/>
  <c r="I87" i="6"/>
  <c r="I83" i="6"/>
  <c r="I71" i="6"/>
  <c r="I63" i="6"/>
  <c r="I59" i="6"/>
  <c r="I55" i="6"/>
  <c r="I51" i="6"/>
  <c r="F131" i="6"/>
  <c r="I132" i="6"/>
  <c r="F127" i="6"/>
  <c r="I128" i="6"/>
  <c r="I116" i="6"/>
  <c r="F115" i="6"/>
  <c r="I112" i="6"/>
  <c r="F111" i="6"/>
  <c r="I108" i="6"/>
  <c r="F107" i="6"/>
  <c r="AN13" i="6"/>
  <c r="I104" i="6"/>
  <c r="F103" i="6"/>
  <c r="I100" i="6"/>
  <c r="F99" i="6"/>
  <c r="AN14" i="6"/>
  <c r="I96" i="6"/>
  <c r="F95" i="6"/>
  <c r="AN15" i="6"/>
  <c r="I92" i="6"/>
  <c r="F91" i="6"/>
  <c r="AN16" i="6"/>
  <c r="F79" i="6"/>
  <c r="I80" i="6"/>
  <c r="F75" i="6"/>
  <c r="I76" i="6"/>
  <c r="I21" i="6"/>
  <c r="F20" i="6"/>
  <c r="I25" i="6"/>
  <c r="F24" i="6"/>
  <c r="F28" i="6"/>
  <c r="I29" i="6"/>
  <c r="I119" i="6"/>
  <c r="I115" i="6"/>
  <c r="I111" i="6"/>
  <c r="I107" i="6"/>
  <c r="I103" i="6"/>
  <c r="I99" i="6"/>
  <c r="I95" i="6"/>
  <c r="I91" i="6"/>
  <c r="I67" i="6"/>
  <c r="I24" i="6"/>
  <c r="C18" i="3" l="1"/>
  <c r="C19" i="3" l="1"/>
  <c r="R18" i="6"/>
  <c r="U18" i="6" s="1"/>
  <c r="V18" i="6" s="1"/>
  <c r="Q18" i="6"/>
  <c r="C20" i="3" l="1"/>
  <c r="Q19" i="6"/>
  <c r="R19" i="6"/>
  <c r="U19" i="6" s="1"/>
  <c r="V19" i="6" s="1"/>
  <c r="C21" i="3" l="1"/>
  <c r="R20" i="6"/>
  <c r="U20" i="6" s="1"/>
  <c r="V20" i="6" s="1"/>
  <c r="Q20" i="6"/>
  <c r="C22" i="3" l="1"/>
  <c r="Q21" i="6"/>
  <c r="R21" i="6"/>
  <c r="U21" i="6" s="1"/>
  <c r="V21" i="6" s="1"/>
  <c r="C23" i="3" l="1"/>
  <c r="R22" i="6"/>
  <c r="U22" i="6" s="1"/>
  <c r="V22" i="6" s="1"/>
  <c r="Q22" i="6"/>
  <c r="C24" i="3" l="1"/>
  <c r="Q23" i="6"/>
  <c r="R23" i="6"/>
  <c r="U23" i="6" s="1"/>
  <c r="V23" i="6" s="1"/>
  <c r="C25" i="3" l="1"/>
  <c r="R24" i="6"/>
  <c r="U24" i="6" s="1"/>
  <c r="V24" i="6" s="1"/>
  <c r="Q24" i="6"/>
  <c r="C26" i="3" l="1"/>
  <c r="Q25" i="6"/>
  <c r="R25" i="6"/>
  <c r="U25" i="6" s="1"/>
  <c r="V25" i="6" s="1"/>
  <c r="C27" i="3" l="1"/>
  <c r="R26" i="6"/>
  <c r="U26" i="6" s="1"/>
  <c r="V26" i="6" s="1"/>
  <c r="Q26" i="6"/>
  <c r="C28" i="3" l="1"/>
  <c r="Q27" i="6"/>
  <c r="R27" i="6"/>
  <c r="U27" i="6" s="1"/>
  <c r="V27" i="6" s="1"/>
  <c r="C29" i="3" l="1"/>
  <c r="R28" i="6"/>
  <c r="U28" i="6" s="1"/>
  <c r="V28" i="6" s="1"/>
  <c r="Q28" i="6"/>
  <c r="C30" i="3" l="1"/>
  <c r="R29" i="6"/>
  <c r="U29" i="6" s="1"/>
  <c r="V29" i="6" s="1"/>
  <c r="Q29" i="6"/>
  <c r="C31" i="3" l="1"/>
  <c r="R30" i="6"/>
  <c r="U30" i="6" s="1"/>
  <c r="V30" i="6" s="1"/>
  <c r="Q30" i="6"/>
  <c r="C32" i="3" l="1"/>
  <c r="R31" i="6"/>
  <c r="U31" i="6" s="1"/>
  <c r="V31" i="6" s="1"/>
  <c r="Q31" i="6"/>
  <c r="C33" i="3" l="1"/>
  <c r="R32" i="6"/>
  <c r="U32" i="6" s="1"/>
  <c r="V32" i="6" s="1"/>
  <c r="Q32" i="6"/>
  <c r="C34" i="3" l="1"/>
  <c r="R33" i="6"/>
  <c r="U33" i="6" s="1"/>
  <c r="V33" i="6" s="1"/>
  <c r="Q33" i="6"/>
  <c r="C35" i="3" l="1"/>
  <c r="R34" i="6"/>
  <c r="U34" i="6" s="1"/>
  <c r="V34" i="6" s="1"/>
  <c r="Q34" i="6"/>
  <c r="C36" i="3" l="1"/>
  <c r="R35" i="6"/>
  <c r="U35" i="6" s="1"/>
  <c r="V35" i="6" s="1"/>
  <c r="Q35" i="6"/>
  <c r="C37" i="3" l="1"/>
  <c r="R36" i="6"/>
  <c r="U36" i="6" s="1"/>
  <c r="V36" i="6" s="1"/>
  <c r="Q36" i="6"/>
  <c r="C38" i="3" l="1"/>
  <c r="R37" i="6"/>
  <c r="U37" i="6" s="1"/>
  <c r="V37" i="6" s="1"/>
  <c r="Q37" i="6"/>
  <c r="C39" i="3" l="1"/>
  <c r="R38" i="6"/>
  <c r="U38" i="6" s="1"/>
  <c r="V38" i="6" s="1"/>
  <c r="Q38" i="6"/>
  <c r="C40" i="3" l="1"/>
  <c r="R39" i="6"/>
  <c r="U39" i="6" s="1"/>
  <c r="V39" i="6" s="1"/>
  <c r="Q39" i="6"/>
  <c r="C41" i="3" l="1"/>
  <c r="R40" i="6"/>
  <c r="U40" i="6" s="1"/>
  <c r="V40" i="6" s="1"/>
  <c r="Q40" i="6"/>
  <c r="C42" i="3" l="1"/>
  <c r="R41" i="6"/>
  <c r="U41" i="6" s="1"/>
  <c r="V41" i="6" s="1"/>
  <c r="Q41" i="6"/>
  <c r="C43" i="3" l="1"/>
  <c r="R42" i="6"/>
  <c r="U42" i="6" s="1"/>
  <c r="V42" i="6" s="1"/>
  <c r="Q42" i="6"/>
  <c r="C44" i="3" l="1"/>
  <c r="R43" i="6"/>
  <c r="U43" i="6" s="1"/>
  <c r="V43" i="6" s="1"/>
  <c r="Q43" i="6"/>
  <c r="C45" i="3" l="1"/>
  <c r="R44" i="6"/>
  <c r="U44" i="6" s="1"/>
  <c r="V44" i="6" s="1"/>
  <c r="Q44" i="6"/>
  <c r="C46" i="3" l="1"/>
  <c r="R45" i="6"/>
  <c r="U45" i="6" s="1"/>
  <c r="V45" i="6" s="1"/>
  <c r="Q45" i="6"/>
  <c r="C47" i="3" l="1"/>
  <c r="R46" i="6"/>
  <c r="U46" i="6" s="1"/>
  <c r="V46" i="6" s="1"/>
  <c r="Q46" i="6"/>
  <c r="C48" i="3" l="1"/>
  <c r="R47" i="6"/>
  <c r="U47" i="6" s="1"/>
  <c r="V47" i="6" s="1"/>
  <c r="Q47" i="6"/>
  <c r="C49" i="3" l="1"/>
  <c r="R48" i="6"/>
  <c r="U48" i="6" s="1"/>
  <c r="V48" i="6" s="1"/>
  <c r="Q48" i="6"/>
  <c r="C50" i="3" l="1"/>
  <c r="R49" i="6"/>
  <c r="U49" i="6" s="1"/>
  <c r="V49" i="6" s="1"/>
  <c r="Q49" i="6"/>
  <c r="C51" i="3" l="1"/>
  <c r="R50" i="6"/>
  <c r="U50" i="6" s="1"/>
  <c r="V50" i="6" s="1"/>
  <c r="Q50" i="6"/>
  <c r="C52" i="3" l="1"/>
  <c r="R51" i="6"/>
  <c r="U51" i="6" s="1"/>
  <c r="V51" i="6" s="1"/>
  <c r="Q51" i="6"/>
  <c r="C53" i="3" l="1"/>
  <c r="R52" i="6"/>
  <c r="U52" i="6" s="1"/>
  <c r="V52" i="6" s="1"/>
  <c r="Q52" i="6"/>
  <c r="C54" i="3" l="1"/>
  <c r="R53" i="6"/>
  <c r="U53" i="6" s="1"/>
  <c r="V53" i="6" s="1"/>
  <c r="Q53" i="6"/>
  <c r="C55" i="3" l="1"/>
  <c r="R54" i="6"/>
  <c r="U54" i="6" s="1"/>
  <c r="V54" i="6" s="1"/>
  <c r="Q54" i="6"/>
  <c r="C56" i="3" l="1"/>
  <c r="R55" i="6"/>
  <c r="U55" i="6" s="1"/>
  <c r="V55" i="6" s="1"/>
  <c r="Q55" i="6"/>
  <c r="C57" i="3" l="1"/>
  <c r="R56" i="6"/>
  <c r="U56" i="6" s="1"/>
  <c r="V56" i="6" s="1"/>
  <c r="Q56" i="6"/>
  <c r="C58" i="3" l="1"/>
  <c r="R57" i="6"/>
  <c r="U57" i="6" s="1"/>
  <c r="V57" i="6" s="1"/>
  <c r="Q57" i="6"/>
  <c r="C59" i="3" l="1"/>
  <c r="R58" i="6"/>
  <c r="U58" i="6" s="1"/>
  <c r="V58" i="6" s="1"/>
  <c r="Q58" i="6"/>
  <c r="C60" i="3" l="1"/>
  <c r="R59" i="6"/>
  <c r="U59" i="6" s="1"/>
  <c r="V59" i="6" s="1"/>
  <c r="Q59" i="6"/>
  <c r="C61" i="3" l="1"/>
  <c r="R60" i="6"/>
  <c r="U60" i="6" s="1"/>
  <c r="V60" i="6" s="1"/>
  <c r="Q60" i="6"/>
  <c r="C62" i="3" l="1"/>
  <c r="R61" i="6"/>
  <c r="U61" i="6" s="1"/>
  <c r="V61" i="6" s="1"/>
  <c r="Q61" i="6"/>
  <c r="C63" i="3" l="1"/>
  <c r="R62" i="6"/>
  <c r="U62" i="6" s="1"/>
  <c r="V62" i="6" s="1"/>
  <c r="Q62" i="6"/>
  <c r="C64" i="3" l="1"/>
  <c r="R63" i="6"/>
  <c r="U63" i="6" s="1"/>
  <c r="V63" i="6" s="1"/>
  <c r="Q63" i="6"/>
  <c r="C65" i="3" l="1"/>
  <c r="R64" i="6"/>
  <c r="U64" i="6" s="1"/>
  <c r="V64" i="6" s="1"/>
  <c r="Q64" i="6"/>
  <c r="C66" i="3" l="1"/>
  <c r="R65" i="6"/>
  <c r="U65" i="6" s="1"/>
  <c r="V65" i="6" s="1"/>
  <c r="Q65" i="6"/>
  <c r="C67" i="3" l="1"/>
  <c r="R66" i="6"/>
  <c r="U66" i="6" s="1"/>
  <c r="V66" i="6" s="1"/>
  <c r="Q66" i="6"/>
  <c r="C68" i="3" l="1"/>
  <c r="R67" i="6"/>
  <c r="U67" i="6" s="1"/>
  <c r="V67" i="6" s="1"/>
  <c r="Q67" i="6"/>
  <c r="C69" i="3" l="1"/>
  <c r="R68" i="6"/>
  <c r="U68" i="6" s="1"/>
  <c r="V68" i="6" s="1"/>
  <c r="Q68" i="6"/>
  <c r="C70" i="3" l="1"/>
  <c r="R69" i="6"/>
  <c r="U69" i="6" s="1"/>
  <c r="V69" i="6" s="1"/>
  <c r="Q69" i="6"/>
  <c r="C71" i="3" l="1"/>
  <c r="R70" i="6"/>
  <c r="U70" i="6" s="1"/>
  <c r="V70" i="6" s="1"/>
  <c r="Q70" i="6"/>
  <c r="C72" i="3" l="1"/>
  <c r="R71" i="6"/>
  <c r="U71" i="6" s="1"/>
  <c r="V71" i="6" s="1"/>
  <c r="Q71" i="6"/>
  <c r="C73" i="3" l="1"/>
  <c r="R72" i="6"/>
  <c r="U72" i="6" s="1"/>
  <c r="V72" i="6" s="1"/>
  <c r="Q72" i="6"/>
  <c r="C74" i="3" l="1"/>
  <c r="R73" i="6"/>
  <c r="U73" i="6" s="1"/>
  <c r="V73" i="6" s="1"/>
  <c r="Q73" i="6"/>
  <c r="C75" i="3" l="1"/>
  <c r="R74" i="6"/>
  <c r="U74" i="6" s="1"/>
  <c r="V74" i="6" s="1"/>
  <c r="Q74" i="6"/>
  <c r="C76" i="3" l="1"/>
  <c r="R75" i="6"/>
  <c r="U75" i="6" s="1"/>
  <c r="V75" i="6" s="1"/>
  <c r="Q75" i="6"/>
  <c r="C77" i="3" l="1"/>
  <c r="K34" i="3"/>
  <c r="R76" i="6"/>
  <c r="U76" i="6" s="1"/>
  <c r="V76" i="6" s="1"/>
  <c r="Q76" i="6"/>
  <c r="R77" i="6" l="1"/>
  <c r="U77" i="6" s="1"/>
  <c r="V77" i="6" s="1"/>
  <c r="Q77" i="6"/>
  <c r="C78" i="3"/>
  <c r="R78" i="6" l="1"/>
  <c r="U78" i="6" s="1"/>
  <c r="V78" i="6" s="1"/>
  <c r="Q78" i="6"/>
  <c r="C79" i="3"/>
  <c r="R79" i="6" l="1"/>
  <c r="U79" i="6" s="1"/>
  <c r="V79" i="6" s="1"/>
  <c r="Q79" i="6"/>
  <c r="C80" i="3"/>
  <c r="R80" i="6" l="1"/>
  <c r="U80" i="6" s="1"/>
  <c r="V80" i="6" s="1"/>
  <c r="Q80" i="6"/>
  <c r="C81" i="3"/>
  <c r="R81" i="6" l="1"/>
  <c r="U81" i="6" s="1"/>
  <c r="V81" i="6" s="1"/>
  <c r="Q81" i="6"/>
  <c r="C82" i="3"/>
  <c r="R82" i="6" l="1"/>
  <c r="U82" i="6" s="1"/>
  <c r="V82" i="6" s="1"/>
  <c r="Q82" i="6"/>
  <c r="C83" i="3"/>
  <c r="R83" i="6" l="1"/>
  <c r="U83" i="6" s="1"/>
  <c r="V83" i="6" s="1"/>
  <c r="Q83" i="6"/>
  <c r="C84" i="3"/>
  <c r="R84" i="6" l="1"/>
  <c r="U84" i="6" s="1"/>
  <c r="V84" i="6" s="1"/>
  <c r="Q84" i="6"/>
  <c r="C85" i="3"/>
  <c r="R85" i="6" l="1"/>
  <c r="U85" i="6" s="1"/>
  <c r="V85" i="6" s="1"/>
  <c r="Q85" i="6"/>
  <c r="C86" i="3"/>
  <c r="R86" i="6" l="1"/>
  <c r="U86" i="6" s="1"/>
  <c r="V86" i="6" s="1"/>
  <c r="Q86" i="6"/>
  <c r="C87" i="3"/>
  <c r="R87" i="6" l="1"/>
  <c r="U87" i="6" s="1"/>
  <c r="V87" i="6" s="1"/>
  <c r="Q87" i="6"/>
  <c r="C88" i="3"/>
  <c r="R88" i="6" l="1"/>
  <c r="U88" i="6" s="1"/>
  <c r="V88" i="6" s="1"/>
  <c r="Q88" i="6"/>
  <c r="C89" i="3"/>
  <c r="R89" i="6" l="1"/>
  <c r="U89" i="6" s="1"/>
  <c r="V89" i="6" s="1"/>
  <c r="Q89" i="6"/>
  <c r="C90" i="3"/>
  <c r="R90" i="6" l="1"/>
  <c r="U90" i="6" s="1"/>
  <c r="V90" i="6" s="1"/>
  <c r="Q90" i="6"/>
  <c r="C91" i="3"/>
  <c r="Q91" i="6" l="1"/>
  <c r="R91" i="6"/>
  <c r="U91" i="6" s="1"/>
  <c r="V91" i="6" s="1"/>
  <c r="C92" i="3"/>
  <c r="Q92" i="6" l="1"/>
  <c r="R92" i="6"/>
  <c r="U92" i="6" s="1"/>
  <c r="V92" i="6" s="1"/>
  <c r="C93" i="3"/>
  <c r="Q93" i="6" l="1"/>
  <c r="R93" i="6"/>
  <c r="U93" i="6" s="1"/>
  <c r="V93" i="6" s="1"/>
  <c r="C94" i="3"/>
  <c r="Q94" i="6" l="1"/>
  <c r="R94" i="6"/>
  <c r="U94" i="6" s="1"/>
  <c r="V94" i="6" s="1"/>
  <c r="C95" i="3"/>
  <c r="Q95" i="6" l="1"/>
  <c r="R95" i="6"/>
  <c r="U95" i="6" s="1"/>
  <c r="V95" i="6" s="1"/>
  <c r="C96" i="3"/>
  <c r="Q96" i="6" l="1"/>
  <c r="R96" i="6"/>
  <c r="U96" i="6" s="1"/>
  <c r="V96" i="6" s="1"/>
  <c r="C97" i="3"/>
  <c r="Q97" i="6" l="1"/>
  <c r="R97" i="6"/>
  <c r="U97" i="6" s="1"/>
  <c r="V97" i="6" s="1"/>
  <c r="C98" i="3"/>
  <c r="Q98" i="6" l="1"/>
  <c r="R98" i="6"/>
  <c r="U98" i="6" s="1"/>
  <c r="V98" i="6" s="1"/>
  <c r="C99" i="3"/>
  <c r="Q99" i="6" l="1"/>
  <c r="R99" i="6"/>
  <c r="U99" i="6" s="1"/>
  <c r="V99" i="6" s="1"/>
  <c r="C100" i="3"/>
  <c r="Q100" i="6" l="1"/>
  <c r="R100" i="6"/>
  <c r="U100" i="6" s="1"/>
  <c r="V100" i="6" s="1"/>
  <c r="C101" i="3"/>
  <c r="Q101" i="6" l="1"/>
  <c r="R101" i="6"/>
  <c r="U101" i="6" s="1"/>
  <c r="V101" i="6" s="1"/>
  <c r="C102" i="3"/>
  <c r="Q102" i="6" l="1"/>
  <c r="R102" i="6"/>
  <c r="U102" i="6" s="1"/>
  <c r="V102" i="6" s="1"/>
  <c r="C103" i="3"/>
  <c r="Q103" i="6" l="1"/>
  <c r="R103" i="6"/>
  <c r="U103" i="6" s="1"/>
  <c r="V103" i="6" s="1"/>
  <c r="C104" i="3"/>
  <c r="Q104" i="6" l="1"/>
  <c r="R104" i="6"/>
  <c r="U104" i="6" s="1"/>
  <c r="V104" i="6" s="1"/>
  <c r="C105" i="3"/>
  <c r="Q105" i="6" l="1"/>
  <c r="R105" i="6"/>
  <c r="U105" i="6" s="1"/>
  <c r="V105" i="6" s="1"/>
  <c r="C106" i="3"/>
  <c r="Q106" i="6" l="1"/>
  <c r="R106" i="6"/>
  <c r="U106" i="6" s="1"/>
  <c r="V106" i="6" s="1"/>
  <c r="C107" i="3"/>
  <c r="Q107" i="6" l="1"/>
  <c r="R107" i="6"/>
  <c r="U107" i="6" s="1"/>
  <c r="V107" i="6" s="1"/>
  <c r="C108" i="3"/>
  <c r="Q108" i="6" l="1"/>
  <c r="R108" i="6"/>
  <c r="U108" i="6" s="1"/>
  <c r="V108" i="6" s="1"/>
  <c r="C109" i="3"/>
  <c r="Q109" i="6" l="1"/>
  <c r="R109" i="6"/>
  <c r="U109" i="6" s="1"/>
  <c r="V109" i="6" s="1"/>
  <c r="C110" i="3"/>
  <c r="Q110" i="6" l="1"/>
  <c r="R110" i="6"/>
  <c r="U110" i="6" s="1"/>
  <c r="V110" i="6" s="1"/>
  <c r="C111" i="3"/>
  <c r="C112" i="3" l="1"/>
  <c r="Q111" i="6"/>
  <c r="R111" i="6"/>
  <c r="U111" i="6" s="1"/>
  <c r="V111" i="6" s="1"/>
  <c r="C113" i="3" l="1"/>
  <c r="Q112" i="6"/>
  <c r="R112" i="6"/>
  <c r="U112" i="6" s="1"/>
  <c r="V112" i="6" s="1"/>
  <c r="C114" i="3" l="1"/>
  <c r="Q113" i="6"/>
  <c r="R113" i="6"/>
  <c r="U113" i="6" s="1"/>
  <c r="V113" i="6" s="1"/>
  <c r="C115" i="3" l="1"/>
  <c r="Q114" i="6"/>
  <c r="R114" i="6"/>
  <c r="U114" i="6" s="1"/>
  <c r="V114" i="6" s="1"/>
  <c r="C116" i="3" l="1"/>
  <c r="Q115" i="6"/>
  <c r="R115" i="6"/>
  <c r="U115" i="6" s="1"/>
  <c r="V115" i="6" s="1"/>
  <c r="C117" i="3" l="1"/>
  <c r="Q116" i="6"/>
  <c r="R116" i="6"/>
  <c r="U116" i="6" s="1"/>
  <c r="V116" i="6" s="1"/>
  <c r="C118" i="3" l="1"/>
  <c r="Q117" i="6"/>
  <c r="R117" i="6"/>
  <c r="U117" i="6" s="1"/>
  <c r="V117" i="6" s="1"/>
  <c r="C119" i="3" l="1"/>
  <c r="Q118" i="6"/>
  <c r="R118" i="6"/>
  <c r="U118" i="6" s="1"/>
  <c r="V118" i="6" s="1"/>
  <c r="C120" i="3" l="1"/>
  <c r="Q119" i="6"/>
  <c r="R119" i="6"/>
  <c r="U119" i="6" s="1"/>
  <c r="V119" i="6" s="1"/>
  <c r="C121" i="3" l="1"/>
  <c r="R120" i="6"/>
  <c r="U120" i="6" s="1"/>
  <c r="V120" i="6" s="1"/>
  <c r="Q120" i="6"/>
  <c r="C122" i="3" l="1"/>
  <c r="R121" i="6"/>
  <c r="U121" i="6" s="1"/>
  <c r="V121" i="6" s="1"/>
  <c r="Q121" i="6"/>
  <c r="C123" i="3" l="1"/>
  <c r="R122" i="6"/>
  <c r="U122" i="6" s="1"/>
  <c r="V122" i="6" s="1"/>
  <c r="Q122" i="6"/>
  <c r="C124" i="3" l="1"/>
  <c r="R123" i="6"/>
  <c r="U123" i="6" s="1"/>
  <c r="V123" i="6" s="1"/>
  <c r="Q123" i="6"/>
  <c r="C125" i="3" l="1"/>
  <c r="R124" i="6"/>
  <c r="U124" i="6" s="1"/>
  <c r="V124" i="6" s="1"/>
  <c r="Q124" i="6"/>
  <c r="C126" i="3" l="1"/>
  <c r="R125" i="6"/>
  <c r="U125" i="6" s="1"/>
  <c r="V125" i="6" s="1"/>
  <c r="Q125" i="6"/>
  <c r="C127" i="3" l="1"/>
  <c r="R126" i="6"/>
  <c r="U126" i="6" s="1"/>
  <c r="V126" i="6" s="1"/>
  <c r="Q126" i="6"/>
  <c r="C128" i="3" l="1"/>
  <c r="R127" i="6"/>
  <c r="U127" i="6" s="1"/>
  <c r="V127" i="6" s="1"/>
  <c r="Q127" i="6"/>
  <c r="C129" i="3" l="1"/>
  <c r="R128" i="6"/>
  <c r="U128" i="6" s="1"/>
  <c r="V128" i="6" s="1"/>
  <c r="Q128" i="6"/>
  <c r="C130" i="3" l="1"/>
  <c r="R129" i="6"/>
  <c r="U129" i="6" s="1"/>
  <c r="V129" i="6" s="1"/>
  <c r="Q129" i="6"/>
  <c r="C131" i="3" l="1"/>
  <c r="R130" i="6"/>
  <c r="U130" i="6" s="1"/>
  <c r="V130" i="6" s="1"/>
  <c r="Q130" i="6"/>
  <c r="C132" i="3" l="1"/>
  <c r="R131" i="6"/>
  <c r="U131" i="6" s="1"/>
  <c r="V131" i="6" s="1"/>
  <c r="Q131" i="6"/>
  <c r="C133" i="3" l="1"/>
  <c r="R132" i="6"/>
  <c r="U132" i="6" s="1"/>
  <c r="V132" i="6" s="1"/>
  <c r="Q132" i="6"/>
  <c r="C134" i="3" l="1"/>
  <c r="R133" i="6"/>
  <c r="U133" i="6" s="1"/>
  <c r="V133" i="6" s="1"/>
  <c r="Q133" i="6"/>
  <c r="R134" i="6" l="1"/>
  <c r="U134" i="6" s="1"/>
  <c r="V134" i="6" s="1"/>
  <c r="Q134" i="6"/>
  <c r="D135" i="3"/>
  <c r="C135" i="3"/>
  <c r="R135" i="6" l="1"/>
  <c r="U135" i="6" s="1"/>
  <c r="V135" i="6" s="1"/>
  <c r="Q135" i="6"/>
  <c r="D136" i="3"/>
  <c r="C136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C136" i="6" l="1"/>
  <c r="R136" i="6"/>
  <c r="U136" i="6" s="1"/>
  <c r="V136" i="6" s="1"/>
  <c r="P9" i="6" s="1"/>
  <c r="Q136" i="6"/>
  <c r="G136" i="6"/>
  <c r="H30" i="3"/>
  <c r="G18" i="6"/>
  <c r="H18" i="6" s="1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126" i="6"/>
  <c r="G127" i="6"/>
  <c r="G128" i="6"/>
  <c r="G129" i="6"/>
  <c r="G130" i="6"/>
  <c r="G131" i="6"/>
  <c r="G132" i="6"/>
  <c r="G133" i="6"/>
  <c r="G134" i="6"/>
  <c r="G135" i="6"/>
  <c r="H135" i="6" l="1"/>
  <c r="H133" i="6"/>
  <c r="H131" i="6"/>
  <c r="H129" i="6"/>
  <c r="H127" i="6"/>
  <c r="H125" i="6"/>
  <c r="H123" i="6"/>
  <c r="H121" i="6"/>
  <c r="H119" i="6"/>
  <c r="H117" i="6"/>
  <c r="H115" i="6"/>
  <c r="H113" i="6"/>
  <c r="H111" i="6"/>
  <c r="H109" i="6"/>
  <c r="H107" i="6"/>
  <c r="H105" i="6"/>
  <c r="H103" i="6"/>
  <c r="H101" i="6"/>
  <c r="H99" i="6"/>
  <c r="H97" i="6"/>
  <c r="H95" i="6"/>
  <c r="H93" i="6"/>
  <c r="H91" i="6"/>
  <c r="H89" i="6"/>
  <c r="H87" i="6"/>
  <c r="H85" i="6"/>
  <c r="H83" i="6"/>
  <c r="H81" i="6"/>
  <c r="H79" i="6"/>
  <c r="H77" i="6"/>
  <c r="H75" i="6"/>
  <c r="H73" i="6"/>
  <c r="H71" i="6"/>
  <c r="H69" i="6"/>
  <c r="H67" i="6"/>
  <c r="H65" i="6"/>
  <c r="H63" i="6"/>
  <c r="H61" i="6"/>
  <c r="H59" i="6"/>
  <c r="H57" i="6"/>
  <c r="H55" i="6"/>
  <c r="H53" i="6"/>
  <c r="H51" i="6"/>
  <c r="H49" i="6"/>
  <c r="H47" i="6"/>
  <c r="H45" i="6"/>
  <c r="H43" i="6"/>
  <c r="H41" i="6"/>
  <c r="H39" i="6"/>
  <c r="H37" i="6"/>
  <c r="H35" i="6"/>
  <c r="H33" i="6"/>
  <c r="H31" i="6"/>
  <c r="H29" i="6"/>
  <c r="H27" i="6"/>
  <c r="H25" i="6"/>
  <c r="H23" i="6"/>
  <c r="H21" i="6"/>
  <c r="H19" i="6"/>
  <c r="D18" i="6"/>
  <c r="AO27" i="6"/>
  <c r="AP27" i="6" s="1"/>
  <c r="C18" i="6"/>
  <c r="C19" i="6"/>
  <c r="D19" i="6"/>
  <c r="D20" i="6"/>
  <c r="C20" i="6"/>
  <c r="C21" i="6"/>
  <c r="D21" i="6"/>
  <c r="AO26" i="6"/>
  <c r="AP26" i="6" s="1"/>
  <c r="D22" i="6"/>
  <c r="C22" i="6"/>
  <c r="D24" i="6"/>
  <c r="C24" i="6"/>
  <c r="D37" i="6"/>
  <c r="C37" i="6"/>
  <c r="D39" i="6"/>
  <c r="AO24" i="6"/>
  <c r="C39" i="6"/>
  <c r="D40" i="6"/>
  <c r="C40" i="6"/>
  <c r="D41" i="6"/>
  <c r="C41" i="6"/>
  <c r="D42" i="6"/>
  <c r="C42" i="6"/>
  <c r="AO23" i="6"/>
  <c r="AP23" i="6" s="1"/>
  <c r="D43" i="6"/>
  <c r="C43" i="6"/>
  <c r="D44" i="6"/>
  <c r="C44" i="6"/>
  <c r="D45" i="6"/>
  <c r="C45" i="6"/>
  <c r="D46" i="6"/>
  <c r="C46" i="6"/>
  <c r="D47" i="6"/>
  <c r="AO22" i="6"/>
  <c r="C47" i="6"/>
  <c r="D48" i="6"/>
  <c r="C48" i="6"/>
  <c r="D49" i="6"/>
  <c r="C49" i="6"/>
  <c r="D50" i="6"/>
  <c r="C50" i="6"/>
  <c r="D51" i="6"/>
  <c r="C51" i="6"/>
  <c r="D52" i="6"/>
  <c r="C52" i="6"/>
  <c r="D53" i="6"/>
  <c r="C53" i="6"/>
  <c r="D54" i="6"/>
  <c r="C54" i="6"/>
  <c r="D55" i="6"/>
  <c r="C55" i="6"/>
  <c r="AO21" i="6"/>
  <c r="AP21" i="6" s="1"/>
  <c r="D56" i="6"/>
  <c r="C56" i="6"/>
  <c r="D57" i="6"/>
  <c r="C57" i="6"/>
  <c r="D58" i="6"/>
  <c r="C58" i="6"/>
  <c r="D59" i="6"/>
  <c r="C59" i="6"/>
  <c r="D60" i="6"/>
  <c r="C60" i="6"/>
  <c r="D61" i="6"/>
  <c r="C61" i="6"/>
  <c r="D62" i="6"/>
  <c r="C62" i="6"/>
  <c r="D63" i="6"/>
  <c r="C63" i="6"/>
  <c r="D64" i="6"/>
  <c r="C64" i="6"/>
  <c r="AO20" i="6"/>
  <c r="K30" i="3"/>
  <c r="M10" i="3" s="1"/>
  <c r="P10" i="6" s="1"/>
  <c r="J30" i="3"/>
  <c r="L30" i="3" s="1"/>
  <c r="M11" i="3" s="1"/>
  <c r="P11" i="6" s="1"/>
  <c r="E18" i="3"/>
  <c r="F18" i="3" s="1"/>
  <c r="J18" i="6" s="1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H136" i="6"/>
  <c r="O4" i="5"/>
  <c r="O4" i="4"/>
  <c r="M9" i="3"/>
  <c r="K135" i="6"/>
  <c r="K131" i="6"/>
  <c r="K127" i="6"/>
  <c r="K119" i="6"/>
  <c r="K115" i="6"/>
  <c r="K111" i="6"/>
  <c r="K107" i="6"/>
  <c r="K103" i="6"/>
  <c r="K99" i="6"/>
  <c r="K95" i="6"/>
  <c r="K91" i="6"/>
  <c r="K87" i="6"/>
  <c r="K83" i="6"/>
  <c r="K79" i="6"/>
  <c r="K75" i="6"/>
  <c r="K71" i="6"/>
  <c r="K67" i="6"/>
  <c r="K63" i="6"/>
  <c r="K59" i="6"/>
  <c r="K55" i="6"/>
  <c r="K51" i="6"/>
  <c r="K47" i="6"/>
  <c r="K43" i="6"/>
  <c r="K39" i="6"/>
  <c r="K35" i="6"/>
  <c r="K31" i="6"/>
  <c r="K27" i="6"/>
  <c r="K23" i="6"/>
  <c r="K19" i="6"/>
  <c r="K121" i="6"/>
  <c r="K122" i="6"/>
  <c r="K120" i="6"/>
  <c r="K28" i="6"/>
  <c r="K26" i="6"/>
  <c r="K24" i="6"/>
  <c r="K22" i="6"/>
  <c r="K20" i="6"/>
  <c r="K18" i="6"/>
  <c r="K123" i="6"/>
  <c r="K133" i="6"/>
  <c r="K129" i="6"/>
  <c r="K125" i="6"/>
  <c r="K117" i="6"/>
  <c r="K113" i="6"/>
  <c r="K109" i="6"/>
  <c r="K105" i="6"/>
  <c r="K101" i="6"/>
  <c r="K97" i="6"/>
  <c r="K93" i="6"/>
  <c r="K89" i="6"/>
  <c r="K85" i="6"/>
  <c r="K81" i="6"/>
  <c r="K77" i="6"/>
  <c r="K73" i="6"/>
  <c r="K69" i="6"/>
  <c r="K65" i="6"/>
  <c r="K61" i="6"/>
  <c r="K57" i="6"/>
  <c r="K53" i="6"/>
  <c r="K49" i="6"/>
  <c r="K45" i="6"/>
  <c r="K41" i="6"/>
  <c r="K37" i="6"/>
  <c r="K33" i="6"/>
  <c r="K29" i="6"/>
  <c r="K25" i="6"/>
  <c r="K21" i="6"/>
  <c r="K136" i="6"/>
  <c r="K134" i="6"/>
  <c r="K132" i="6"/>
  <c r="K130" i="6"/>
  <c r="K128" i="6"/>
  <c r="K126" i="6"/>
  <c r="K124" i="6"/>
  <c r="K118" i="6"/>
  <c r="K116" i="6"/>
  <c r="K114" i="6"/>
  <c r="K112" i="6"/>
  <c r="K110" i="6"/>
  <c r="K108" i="6"/>
  <c r="K106" i="6"/>
  <c r="K104" i="6"/>
  <c r="K102" i="6"/>
  <c r="K100" i="6"/>
  <c r="K98" i="6"/>
  <c r="K96" i="6"/>
  <c r="K94" i="6"/>
  <c r="K92" i="6"/>
  <c r="K90" i="6"/>
  <c r="K88" i="6"/>
  <c r="K86" i="6"/>
  <c r="K84" i="6"/>
  <c r="K82" i="6"/>
  <c r="K80" i="6"/>
  <c r="K78" i="6"/>
  <c r="K76" i="6"/>
  <c r="K74" i="6"/>
  <c r="K72" i="6"/>
  <c r="K70" i="6"/>
  <c r="K68" i="6"/>
  <c r="K66" i="6"/>
  <c r="K64" i="6"/>
  <c r="K62" i="6"/>
  <c r="K60" i="6"/>
  <c r="K58" i="6"/>
  <c r="K56" i="6"/>
  <c r="K54" i="6"/>
  <c r="K52" i="6"/>
  <c r="K50" i="6"/>
  <c r="K48" i="6"/>
  <c r="K46" i="6"/>
  <c r="K44" i="6"/>
  <c r="K42" i="6"/>
  <c r="K40" i="6"/>
  <c r="K38" i="6"/>
  <c r="K36" i="6"/>
  <c r="K34" i="6"/>
  <c r="K32" i="6"/>
  <c r="K30" i="6"/>
  <c r="C23" i="6"/>
  <c r="D23" i="6"/>
  <c r="C25" i="6"/>
  <c r="D25" i="6"/>
  <c r="D26" i="6"/>
  <c r="C26" i="6"/>
  <c r="C27" i="6"/>
  <c r="D27" i="6"/>
  <c r="D28" i="6"/>
  <c r="C28" i="6"/>
  <c r="D29" i="6"/>
  <c r="C29" i="6"/>
  <c r="AO25" i="6"/>
  <c r="AP25" i="6" s="1"/>
  <c r="D30" i="6"/>
  <c r="C30" i="6"/>
  <c r="D31" i="6"/>
  <c r="C31" i="6"/>
  <c r="D32" i="6"/>
  <c r="C32" i="6"/>
  <c r="D33" i="6"/>
  <c r="C33" i="6"/>
  <c r="D34" i="6"/>
  <c r="C34" i="6"/>
  <c r="D35" i="6"/>
  <c r="C35" i="6"/>
  <c r="D36" i="6"/>
  <c r="C36" i="6"/>
  <c r="D38" i="6"/>
  <c r="C38" i="6"/>
  <c r="C111" i="6"/>
  <c r="D111" i="6"/>
  <c r="C112" i="6"/>
  <c r="D112" i="6"/>
  <c r="C114" i="6"/>
  <c r="D114" i="6"/>
  <c r="D134" i="6"/>
  <c r="C134" i="6"/>
  <c r="D65" i="6"/>
  <c r="C65" i="6"/>
  <c r="D66" i="6"/>
  <c r="C66" i="6"/>
  <c r="D67" i="6"/>
  <c r="C67" i="6"/>
  <c r="D68" i="6"/>
  <c r="C68" i="6"/>
  <c r="AO19" i="6"/>
  <c r="D69" i="6"/>
  <c r="C69" i="6"/>
  <c r="D70" i="6"/>
  <c r="C70" i="6"/>
  <c r="D71" i="6"/>
  <c r="C71" i="6"/>
  <c r="D72" i="6"/>
  <c r="C72" i="6"/>
  <c r="D73" i="6"/>
  <c r="C73" i="6"/>
  <c r="AO18" i="6"/>
  <c r="D74" i="6"/>
  <c r="C74" i="6"/>
  <c r="D75" i="6"/>
  <c r="C75" i="6"/>
  <c r="D76" i="6"/>
  <c r="C76" i="6"/>
  <c r="D77" i="6"/>
  <c r="C77" i="6"/>
  <c r="D78" i="6"/>
  <c r="C78" i="6"/>
  <c r="D79" i="6"/>
  <c r="C79" i="6"/>
  <c r="D80" i="6"/>
  <c r="C80" i="6"/>
  <c r="D81" i="6"/>
  <c r="C81" i="6"/>
  <c r="AO17" i="6"/>
  <c r="D82" i="6"/>
  <c r="C82" i="6"/>
  <c r="D83" i="6"/>
  <c r="C83" i="6"/>
  <c r="D84" i="6"/>
  <c r="C84" i="6"/>
  <c r="D85" i="6"/>
  <c r="C85" i="6"/>
  <c r="D86" i="6"/>
  <c r="C86" i="6"/>
  <c r="D87" i="6"/>
  <c r="C87" i="6"/>
  <c r="D88" i="6"/>
  <c r="C88" i="6"/>
  <c r="D89" i="6"/>
  <c r="C89" i="6"/>
  <c r="D90" i="6"/>
  <c r="C90" i="6"/>
  <c r="C91" i="6"/>
  <c r="D91" i="6"/>
  <c r="AO16" i="6"/>
  <c r="C92" i="6"/>
  <c r="D92" i="6"/>
  <c r="C93" i="6"/>
  <c r="D93" i="6"/>
  <c r="C94" i="6"/>
  <c r="D94" i="6"/>
  <c r="C95" i="6"/>
  <c r="D95" i="6"/>
  <c r="AO15" i="6"/>
  <c r="C96" i="6"/>
  <c r="D96" i="6"/>
  <c r="C97" i="6"/>
  <c r="D97" i="6"/>
  <c r="C98" i="6"/>
  <c r="D98" i="6"/>
  <c r="C99" i="6"/>
  <c r="D99" i="6"/>
  <c r="AO14" i="6"/>
  <c r="C100" i="6"/>
  <c r="D100" i="6"/>
  <c r="C101" i="6"/>
  <c r="D101" i="6"/>
  <c r="C102" i="6"/>
  <c r="D102" i="6"/>
  <c r="C103" i="6"/>
  <c r="D103" i="6"/>
  <c r="C104" i="6"/>
  <c r="D104" i="6"/>
  <c r="C105" i="6"/>
  <c r="D105" i="6"/>
  <c r="C106" i="6"/>
  <c r="D106" i="6"/>
  <c r="C107" i="6"/>
  <c r="D107" i="6"/>
  <c r="AO13" i="6"/>
  <c r="C108" i="6"/>
  <c r="D108" i="6"/>
  <c r="C109" i="6"/>
  <c r="D109" i="6"/>
  <c r="C110" i="6"/>
  <c r="D110" i="6"/>
  <c r="C113" i="6"/>
  <c r="D113" i="6"/>
  <c r="C115" i="6"/>
  <c r="D115" i="6"/>
  <c r="C116" i="6"/>
  <c r="D116" i="6"/>
  <c r="C117" i="6"/>
  <c r="D117" i="6"/>
  <c r="AO12" i="6"/>
  <c r="C118" i="6"/>
  <c r="D118" i="6"/>
  <c r="C119" i="6"/>
  <c r="D119" i="6"/>
  <c r="D120" i="6"/>
  <c r="C120" i="6"/>
  <c r="AO11" i="6"/>
  <c r="D121" i="6"/>
  <c r="C121" i="6"/>
  <c r="D122" i="6"/>
  <c r="C122" i="6"/>
  <c r="D123" i="6"/>
  <c r="C123" i="6"/>
  <c r="D124" i="6"/>
  <c r="C124" i="6"/>
  <c r="D125" i="6"/>
  <c r="C125" i="6"/>
  <c r="AO10" i="6"/>
  <c r="D126" i="6"/>
  <c r="C126" i="6"/>
  <c r="D127" i="6"/>
  <c r="C127" i="6"/>
  <c r="D128" i="6"/>
  <c r="C128" i="6"/>
  <c r="D129" i="6"/>
  <c r="C129" i="6"/>
  <c r="D130" i="6"/>
  <c r="C130" i="6"/>
  <c r="D131" i="6"/>
  <c r="C131" i="6"/>
  <c r="D132" i="6"/>
  <c r="C132" i="6"/>
  <c r="D133" i="6"/>
  <c r="C133" i="6"/>
  <c r="AO9" i="6"/>
  <c r="D135" i="6"/>
  <c r="C135" i="6"/>
  <c r="AO8" i="6"/>
  <c r="H134" i="6"/>
  <c r="H132" i="6"/>
  <c r="H130" i="6"/>
  <c r="H128" i="6"/>
  <c r="H126" i="6"/>
  <c r="H124" i="6"/>
  <c r="H122" i="6"/>
  <c r="H120" i="6"/>
  <c r="H118" i="6"/>
  <c r="H116" i="6"/>
  <c r="H114" i="6"/>
  <c r="H112" i="6"/>
  <c r="H110" i="6"/>
  <c r="H108" i="6"/>
  <c r="H106" i="6"/>
  <c r="H104" i="6"/>
  <c r="H102" i="6"/>
  <c r="H100" i="6"/>
  <c r="H98" i="6"/>
  <c r="H96" i="6"/>
  <c r="H94" i="6"/>
  <c r="H92" i="6"/>
  <c r="H90" i="6"/>
  <c r="H88" i="6"/>
  <c r="H86" i="6"/>
  <c r="H84" i="6"/>
  <c r="H82" i="6"/>
  <c r="H80" i="6"/>
  <c r="H78" i="6"/>
  <c r="H76" i="6"/>
  <c r="H74" i="6"/>
  <c r="H72" i="6"/>
  <c r="H70" i="6"/>
  <c r="H68" i="6"/>
  <c r="H66" i="6"/>
  <c r="H64" i="6"/>
  <c r="H62" i="6"/>
  <c r="H60" i="6"/>
  <c r="H58" i="6"/>
  <c r="H56" i="6"/>
  <c r="H54" i="6"/>
  <c r="H52" i="6"/>
  <c r="H50" i="6"/>
  <c r="H48" i="6"/>
  <c r="H46" i="6"/>
  <c r="H44" i="6"/>
  <c r="H42" i="6"/>
  <c r="H40" i="6"/>
  <c r="H38" i="6"/>
  <c r="H36" i="6"/>
  <c r="H34" i="6"/>
  <c r="H32" i="6"/>
  <c r="H30" i="6"/>
  <c r="H28" i="6"/>
  <c r="H26" i="6"/>
  <c r="H24" i="6"/>
  <c r="H22" i="6"/>
  <c r="H20" i="6"/>
  <c r="E136" i="3"/>
  <c r="D136" i="6"/>
  <c r="AP22" i="6" l="1"/>
  <c r="F136" i="3"/>
  <c r="J136" i="6" s="1"/>
  <c r="AP19" i="6"/>
  <c r="F135" i="3"/>
  <c r="J135" i="6" s="1"/>
  <c r="F133" i="3"/>
  <c r="J133" i="6" s="1"/>
  <c r="F131" i="3"/>
  <c r="J131" i="6" s="1"/>
  <c r="F129" i="3"/>
  <c r="J129" i="6" s="1"/>
  <c r="F127" i="3"/>
  <c r="J127" i="6" s="1"/>
  <c r="F125" i="3"/>
  <c r="J125" i="6" s="1"/>
  <c r="F123" i="3"/>
  <c r="J123" i="6" s="1"/>
  <c r="F121" i="3"/>
  <c r="J121" i="6" s="1"/>
  <c r="F119" i="3"/>
  <c r="J119" i="6" s="1"/>
  <c r="F117" i="3"/>
  <c r="J117" i="6" s="1"/>
  <c r="F115" i="3"/>
  <c r="J115" i="6" s="1"/>
  <c r="F113" i="3"/>
  <c r="J113" i="6" s="1"/>
  <c r="F111" i="3"/>
  <c r="J111" i="6" s="1"/>
  <c r="F109" i="3"/>
  <c r="J109" i="6" s="1"/>
  <c r="F107" i="3"/>
  <c r="J107" i="6" s="1"/>
  <c r="F105" i="3"/>
  <c r="J105" i="6" s="1"/>
  <c r="F103" i="3"/>
  <c r="J103" i="6" s="1"/>
  <c r="F101" i="3"/>
  <c r="J101" i="6" s="1"/>
  <c r="F99" i="3"/>
  <c r="J99" i="6" s="1"/>
  <c r="F97" i="3"/>
  <c r="J97" i="6" s="1"/>
  <c r="F95" i="3"/>
  <c r="J95" i="6" s="1"/>
  <c r="F93" i="3"/>
  <c r="J93" i="6" s="1"/>
  <c r="F91" i="3"/>
  <c r="J91" i="6" s="1"/>
  <c r="F89" i="3"/>
  <c r="J89" i="6" s="1"/>
  <c r="F87" i="3"/>
  <c r="J87" i="6" s="1"/>
  <c r="F85" i="3"/>
  <c r="J85" i="6" s="1"/>
  <c r="F83" i="3"/>
  <c r="J83" i="6" s="1"/>
  <c r="F81" i="3"/>
  <c r="J81" i="6" s="1"/>
  <c r="F79" i="3"/>
  <c r="J79" i="6" s="1"/>
  <c r="F77" i="3"/>
  <c r="J77" i="6" s="1"/>
  <c r="F75" i="3"/>
  <c r="J75" i="6" s="1"/>
  <c r="F73" i="3"/>
  <c r="J73" i="6" s="1"/>
  <c r="F71" i="3"/>
  <c r="J71" i="6" s="1"/>
  <c r="S136" i="6"/>
  <c r="W136" i="6" s="1"/>
  <c r="AP10" i="6"/>
  <c r="AP12" i="6"/>
  <c r="AP14" i="6"/>
  <c r="AP16" i="6"/>
  <c r="AP18" i="6"/>
  <c r="F69" i="3"/>
  <c r="J69" i="6" s="1"/>
  <c r="F67" i="3"/>
  <c r="J67" i="6" s="1"/>
  <c r="F65" i="3"/>
  <c r="J65" i="6" s="1"/>
  <c r="F63" i="3"/>
  <c r="J63" i="6" s="1"/>
  <c r="F61" i="3"/>
  <c r="J61" i="6" s="1"/>
  <c r="F59" i="3"/>
  <c r="J59" i="6" s="1"/>
  <c r="F57" i="3"/>
  <c r="J57" i="6" s="1"/>
  <c r="F55" i="3"/>
  <c r="J55" i="6" s="1"/>
  <c r="F53" i="3"/>
  <c r="J53" i="6" s="1"/>
  <c r="F51" i="3"/>
  <c r="J51" i="6" s="1"/>
  <c r="F49" i="3"/>
  <c r="J49" i="6" s="1"/>
  <c r="F47" i="3"/>
  <c r="J47" i="6" s="1"/>
  <c r="F45" i="3"/>
  <c r="J45" i="6" s="1"/>
  <c r="F43" i="3"/>
  <c r="J43" i="6" s="1"/>
  <c r="F41" i="3"/>
  <c r="J41" i="6" s="1"/>
  <c r="F39" i="3"/>
  <c r="J39" i="6" s="1"/>
  <c r="F37" i="3"/>
  <c r="J37" i="6" s="1"/>
  <c r="F35" i="3"/>
  <c r="J35" i="6" s="1"/>
  <c r="F33" i="3"/>
  <c r="J33" i="6" s="1"/>
  <c r="F31" i="3"/>
  <c r="J31" i="6" s="1"/>
  <c r="F29" i="3"/>
  <c r="J29" i="6" s="1"/>
  <c r="F27" i="3"/>
  <c r="J27" i="6" s="1"/>
  <c r="F25" i="3"/>
  <c r="J25" i="6" s="1"/>
  <c r="F23" i="3"/>
  <c r="J23" i="6" s="1"/>
  <c r="F21" i="3"/>
  <c r="J21" i="6" s="1"/>
  <c r="F19" i="3"/>
  <c r="J19" i="6" s="1"/>
  <c r="AP20" i="6"/>
  <c r="AP9" i="6"/>
  <c r="S133" i="6"/>
  <c r="W133" i="6" s="1"/>
  <c r="S132" i="6"/>
  <c r="W132" i="6" s="1"/>
  <c r="S131" i="6"/>
  <c r="W131" i="6" s="1"/>
  <c r="S130" i="6"/>
  <c r="W130" i="6" s="1"/>
  <c r="S129" i="6"/>
  <c r="W129" i="6" s="1"/>
  <c r="S128" i="6"/>
  <c r="W128" i="6" s="1"/>
  <c r="S127" i="6"/>
  <c r="W127" i="6" s="1"/>
  <c r="S126" i="6"/>
  <c r="W126" i="6" s="1"/>
  <c r="AP11" i="6"/>
  <c r="S120" i="6"/>
  <c r="W120" i="6" s="1"/>
  <c r="S117" i="6"/>
  <c r="W117" i="6" s="1"/>
  <c r="S116" i="6"/>
  <c r="W116" i="6" s="1"/>
  <c r="S115" i="6"/>
  <c r="W115" i="6" s="1"/>
  <c r="S113" i="6"/>
  <c r="W113" i="6" s="1"/>
  <c r="S110" i="6"/>
  <c r="W110" i="6" s="1"/>
  <c r="S109" i="6"/>
  <c r="W109" i="6" s="1"/>
  <c r="S108" i="6"/>
  <c r="W108" i="6" s="1"/>
  <c r="AP13" i="6"/>
  <c r="S99" i="6"/>
  <c r="W99" i="6" s="1"/>
  <c r="S98" i="6"/>
  <c r="W98" i="6" s="1"/>
  <c r="S97" i="6"/>
  <c r="W97" i="6" s="1"/>
  <c r="S96" i="6"/>
  <c r="W96" i="6" s="1"/>
  <c r="AP15" i="6"/>
  <c r="S91" i="6"/>
  <c r="W91" i="6" s="1"/>
  <c r="AC17" i="6"/>
  <c r="AP17" i="6"/>
  <c r="S81" i="6"/>
  <c r="W81" i="6" s="1"/>
  <c r="S80" i="6"/>
  <c r="W80" i="6" s="1"/>
  <c r="S79" i="6"/>
  <c r="W79" i="6" s="1"/>
  <c r="S78" i="6"/>
  <c r="W78" i="6" s="1"/>
  <c r="S77" i="6"/>
  <c r="W77" i="6" s="1"/>
  <c r="S76" i="6"/>
  <c r="W76" i="6" s="1"/>
  <c r="S75" i="6"/>
  <c r="W75" i="6" s="1"/>
  <c r="S74" i="6"/>
  <c r="W74" i="6" s="1"/>
  <c r="S68" i="6"/>
  <c r="W68" i="6" s="1"/>
  <c r="S67" i="6"/>
  <c r="W67" i="6" s="1"/>
  <c r="S66" i="6"/>
  <c r="W66" i="6" s="1"/>
  <c r="S65" i="6"/>
  <c r="W65" i="6" s="1"/>
  <c r="S134" i="6"/>
  <c r="W134" i="6" s="1"/>
  <c r="S38" i="6"/>
  <c r="W38" i="6" s="1"/>
  <c r="S36" i="6"/>
  <c r="W36" i="6" s="1"/>
  <c r="S35" i="6"/>
  <c r="W35" i="6" s="1"/>
  <c r="S34" i="6"/>
  <c r="W34" i="6" s="1"/>
  <c r="S33" i="6"/>
  <c r="W33" i="6" s="1"/>
  <c r="S32" i="6"/>
  <c r="W32" i="6" s="1"/>
  <c r="S31" i="6"/>
  <c r="W31" i="6" s="1"/>
  <c r="S30" i="6"/>
  <c r="W30" i="6" s="1"/>
  <c r="S27" i="6"/>
  <c r="W27" i="6" s="1"/>
  <c r="S25" i="6"/>
  <c r="W25" i="6" s="1"/>
  <c r="S23" i="6"/>
  <c r="W23" i="6" s="1"/>
  <c r="F134" i="3"/>
  <c r="J134" i="6" s="1"/>
  <c r="F132" i="3"/>
  <c r="J132" i="6" s="1"/>
  <c r="F130" i="3"/>
  <c r="J130" i="6" s="1"/>
  <c r="F128" i="3"/>
  <c r="J128" i="6" s="1"/>
  <c r="F126" i="3"/>
  <c r="J126" i="6" s="1"/>
  <c r="F124" i="3"/>
  <c r="J124" i="6" s="1"/>
  <c r="F122" i="3"/>
  <c r="J122" i="6" s="1"/>
  <c r="F120" i="3"/>
  <c r="J120" i="6" s="1"/>
  <c r="F118" i="3"/>
  <c r="J118" i="6" s="1"/>
  <c r="F116" i="3"/>
  <c r="J116" i="6" s="1"/>
  <c r="F114" i="3"/>
  <c r="J114" i="6" s="1"/>
  <c r="F112" i="3"/>
  <c r="J112" i="6" s="1"/>
  <c r="F110" i="3"/>
  <c r="J110" i="6" s="1"/>
  <c r="F108" i="3"/>
  <c r="J108" i="6" s="1"/>
  <c r="F106" i="3"/>
  <c r="J106" i="6" s="1"/>
  <c r="F104" i="3"/>
  <c r="J104" i="6" s="1"/>
  <c r="F102" i="3"/>
  <c r="J102" i="6" s="1"/>
  <c r="F100" i="3"/>
  <c r="J100" i="6" s="1"/>
  <c r="F98" i="3"/>
  <c r="J98" i="6" s="1"/>
  <c r="F96" i="3"/>
  <c r="J96" i="6" s="1"/>
  <c r="F94" i="3"/>
  <c r="J94" i="6" s="1"/>
  <c r="F92" i="3"/>
  <c r="J92" i="6" s="1"/>
  <c r="F90" i="3"/>
  <c r="J90" i="6" s="1"/>
  <c r="F88" i="3"/>
  <c r="J88" i="6" s="1"/>
  <c r="F86" i="3"/>
  <c r="J86" i="6" s="1"/>
  <c r="F84" i="3"/>
  <c r="J84" i="6" s="1"/>
  <c r="F82" i="3"/>
  <c r="J82" i="6" s="1"/>
  <c r="F80" i="3"/>
  <c r="J80" i="6" s="1"/>
  <c r="F78" i="3"/>
  <c r="J78" i="6" s="1"/>
  <c r="F76" i="3"/>
  <c r="J76" i="6" s="1"/>
  <c r="F74" i="3"/>
  <c r="J74" i="6" s="1"/>
  <c r="F72" i="3"/>
  <c r="J72" i="6" s="1"/>
  <c r="F70" i="3"/>
  <c r="J70" i="6" s="1"/>
  <c r="F68" i="3"/>
  <c r="J68" i="6" s="1"/>
  <c r="F66" i="3"/>
  <c r="J66" i="6" s="1"/>
  <c r="F64" i="3"/>
  <c r="J64" i="6" s="1"/>
  <c r="F62" i="3"/>
  <c r="J62" i="6" s="1"/>
  <c r="F60" i="3"/>
  <c r="J60" i="6" s="1"/>
  <c r="F58" i="3"/>
  <c r="J58" i="6" s="1"/>
  <c r="F56" i="3"/>
  <c r="J56" i="6" s="1"/>
  <c r="F54" i="3"/>
  <c r="J54" i="6" s="1"/>
  <c r="F52" i="3"/>
  <c r="J52" i="6" s="1"/>
  <c r="F50" i="3"/>
  <c r="J50" i="6" s="1"/>
  <c r="F48" i="3"/>
  <c r="J48" i="6" s="1"/>
  <c r="F46" i="3"/>
  <c r="J46" i="6" s="1"/>
  <c r="F44" i="3"/>
  <c r="J44" i="6" s="1"/>
  <c r="F42" i="3"/>
  <c r="J42" i="6" s="1"/>
  <c r="F40" i="3"/>
  <c r="J40" i="6" s="1"/>
  <c r="F38" i="3"/>
  <c r="J38" i="6" s="1"/>
  <c r="F36" i="3"/>
  <c r="J36" i="6" s="1"/>
  <c r="F34" i="3"/>
  <c r="J34" i="6" s="1"/>
  <c r="F32" i="3"/>
  <c r="J32" i="6" s="1"/>
  <c r="F30" i="3"/>
  <c r="J30" i="6" s="1"/>
  <c r="F28" i="3"/>
  <c r="J28" i="6" s="1"/>
  <c r="F26" i="3"/>
  <c r="J26" i="6" s="1"/>
  <c r="F24" i="3"/>
  <c r="J24" i="6" s="1"/>
  <c r="F22" i="3"/>
  <c r="J22" i="6" s="1"/>
  <c r="F20" i="3"/>
  <c r="J20" i="6" s="1"/>
  <c r="O5" i="5"/>
  <c r="O5" i="4"/>
  <c r="S55" i="6"/>
  <c r="W55" i="6" s="1"/>
  <c r="S54" i="6"/>
  <c r="W54" i="6" s="1"/>
  <c r="S53" i="6"/>
  <c r="W53" i="6" s="1"/>
  <c r="S52" i="6"/>
  <c r="W52" i="6" s="1"/>
  <c r="S51" i="6"/>
  <c r="W51" i="6" s="1"/>
  <c r="S50" i="6"/>
  <c r="W50" i="6" s="1"/>
  <c r="S49" i="6"/>
  <c r="W49" i="6" s="1"/>
  <c r="S48" i="6"/>
  <c r="W48" i="6" s="1"/>
  <c r="S42" i="6"/>
  <c r="W42" i="6" s="1"/>
  <c r="S41" i="6"/>
  <c r="W41" i="6" s="1"/>
  <c r="S40" i="6"/>
  <c r="W40" i="6" s="1"/>
  <c r="AP24" i="6"/>
  <c r="S20" i="6"/>
  <c r="W20" i="6" s="1"/>
  <c r="AP8" i="6"/>
  <c r="AP7" i="6"/>
  <c r="S135" i="6"/>
  <c r="W135" i="6" s="1"/>
  <c r="S125" i="6"/>
  <c r="W125" i="6" s="1"/>
  <c r="S124" i="6"/>
  <c r="W124" i="6" s="1"/>
  <c r="S123" i="6"/>
  <c r="W123" i="6" s="1"/>
  <c r="S122" i="6"/>
  <c r="W122" i="6" s="1"/>
  <c r="S121" i="6"/>
  <c r="W121" i="6" s="1"/>
  <c r="S119" i="6"/>
  <c r="W119" i="6" s="1"/>
  <c r="S118" i="6"/>
  <c r="W118" i="6" s="1"/>
  <c r="S107" i="6"/>
  <c r="W107" i="6" s="1"/>
  <c r="S106" i="6"/>
  <c r="W106" i="6" s="1"/>
  <c r="S105" i="6"/>
  <c r="W105" i="6" s="1"/>
  <c r="S104" i="6"/>
  <c r="W104" i="6" s="1"/>
  <c r="S103" i="6"/>
  <c r="W103" i="6" s="1"/>
  <c r="S102" i="6"/>
  <c r="W102" i="6" s="1"/>
  <c r="S101" i="6"/>
  <c r="W101" i="6" s="1"/>
  <c r="S100" i="6"/>
  <c r="W100" i="6" s="1"/>
  <c r="S95" i="6"/>
  <c r="W95" i="6" s="1"/>
  <c r="S94" i="6"/>
  <c r="W94" i="6" s="1"/>
  <c r="S93" i="6"/>
  <c r="W93" i="6" s="1"/>
  <c r="S92" i="6"/>
  <c r="W92" i="6" s="1"/>
  <c r="S90" i="6"/>
  <c r="W90" i="6" s="1"/>
  <c r="S89" i="6"/>
  <c r="W89" i="6" s="1"/>
  <c r="S88" i="6"/>
  <c r="W88" i="6" s="1"/>
  <c r="S87" i="6"/>
  <c r="W87" i="6" s="1"/>
  <c r="S86" i="6"/>
  <c r="W86" i="6" s="1"/>
  <c r="S85" i="6"/>
  <c r="W85" i="6" s="1"/>
  <c r="S84" i="6"/>
  <c r="W84" i="6" s="1"/>
  <c r="S83" i="6"/>
  <c r="W83" i="6" s="1"/>
  <c r="S82" i="6"/>
  <c r="W82" i="6" s="1"/>
  <c r="S73" i="6"/>
  <c r="W73" i="6" s="1"/>
  <c r="S72" i="6"/>
  <c r="W72" i="6" s="1"/>
  <c r="S71" i="6"/>
  <c r="W71" i="6" s="1"/>
  <c r="S70" i="6"/>
  <c r="W70" i="6" s="1"/>
  <c r="S69" i="6"/>
  <c r="W69" i="6" s="1"/>
  <c r="S114" i="6"/>
  <c r="W114" i="6" s="1"/>
  <c r="S112" i="6"/>
  <c r="W112" i="6" s="1"/>
  <c r="S111" i="6"/>
  <c r="W111" i="6" s="1"/>
  <c r="S29" i="6"/>
  <c r="W29" i="6" s="1"/>
  <c r="S28" i="6"/>
  <c r="W28" i="6" s="1"/>
  <c r="S26" i="6"/>
  <c r="W26" i="6" s="1"/>
  <c r="O6" i="5"/>
  <c r="O6" i="4"/>
  <c r="S64" i="6"/>
  <c r="W64" i="6" s="1"/>
  <c r="S63" i="6"/>
  <c r="W63" i="6" s="1"/>
  <c r="S62" i="6"/>
  <c r="W62" i="6" s="1"/>
  <c r="S61" i="6"/>
  <c r="W61" i="6" s="1"/>
  <c r="S60" i="6"/>
  <c r="W60" i="6" s="1"/>
  <c r="S59" i="6"/>
  <c r="W59" i="6" s="1"/>
  <c r="S58" i="6"/>
  <c r="W58" i="6" s="1"/>
  <c r="S57" i="6"/>
  <c r="W57" i="6" s="1"/>
  <c r="S56" i="6"/>
  <c r="W56" i="6" s="1"/>
  <c r="S47" i="6"/>
  <c r="W47" i="6" s="1"/>
  <c r="S46" i="6"/>
  <c r="W46" i="6" s="1"/>
  <c r="S45" i="6"/>
  <c r="W45" i="6" s="1"/>
  <c r="S44" i="6"/>
  <c r="W44" i="6" s="1"/>
  <c r="S43" i="6"/>
  <c r="W43" i="6" s="1"/>
  <c r="S39" i="6"/>
  <c r="W39" i="6" s="1"/>
  <c r="S37" i="6"/>
  <c r="W37" i="6" s="1"/>
  <c r="S24" i="6"/>
  <c r="W24" i="6" s="1"/>
  <c r="S22" i="6"/>
  <c r="W22" i="6" s="1"/>
  <c r="S21" i="6"/>
  <c r="W21" i="6" s="1"/>
  <c r="S19" i="6"/>
  <c r="W19" i="6" s="1"/>
  <c r="S18" i="6"/>
  <c r="W18" i="6" s="1"/>
  <c r="X18" i="6" s="1"/>
  <c r="X19" i="6" l="1"/>
  <c r="X20" i="6" l="1"/>
  <c r="X21" i="6" l="1"/>
  <c r="X22" i="6" l="1"/>
  <c r="X23" i="6" l="1"/>
  <c r="X24" i="6" l="1"/>
  <c r="X25" i="6" l="1"/>
  <c r="X26" i="6" l="1"/>
  <c r="X27" i="6" l="1"/>
  <c r="X28" i="6" l="1"/>
  <c r="X29" i="6" l="1"/>
  <c r="X30" i="6" l="1"/>
  <c r="X31" i="6" l="1"/>
  <c r="X32" i="6" l="1"/>
  <c r="X33" i="6" l="1"/>
  <c r="X34" i="6" l="1"/>
  <c r="X35" i="6" l="1"/>
  <c r="X36" i="6" l="1"/>
  <c r="X37" i="6" l="1"/>
  <c r="X38" i="6" l="1"/>
  <c r="X39" i="6" l="1"/>
  <c r="X40" i="6" l="1"/>
  <c r="X41" i="6" l="1"/>
  <c r="X42" i="6" l="1"/>
  <c r="X43" i="6" l="1"/>
  <c r="X44" i="6" l="1"/>
  <c r="X45" i="6" l="1"/>
  <c r="X46" i="6" l="1"/>
  <c r="X47" i="6" l="1"/>
  <c r="X48" i="6" l="1"/>
  <c r="X49" i="6" l="1"/>
  <c r="X50" i="6" l="1"/>
  <c r="X51" i="6" l="1"/>
  <c r="X52" i="6" l="1"/>
  <c r="X53" i="6" l="1"/>
  <c r="X54" i="6" l="1"/>
  <c r="X55" i="6" l="1"/>
  <c r="X56" i="6" l="1"/>
  <c r="X57" i="6" l="1"/>
  <c r="X58" i="6" l="1"/>
  <c r="X59" i="6" l="1"/>
  <c r="X60" i="6" l="1"/>
  <c r="X61" i="6" l="1"/>
  <c r="X62" i="6" l="1"/>
  <c r="X63" i="6" l="1"/>
  <c r="X64" i="6" l="1"/>
  <c r="X65" i="6" l="1"/>
  <c r="X66" i="6" l="1"/>
  <c r="X67" i="6" l="1"/>
  <c r="X68" i="6" l="1"/>
  <c r="X69" i="6" l="1"/>
  <c r="X70" i="6" l="1"/>
  <c r="X71" i="6" l="1"/>
  <c r="X72" i="6" l="1"/>
  <c r="X73" i="6" l="1"/>
  <c r="X74" i="6" l="1"/>
  <c r="X75" i="6" l="1"/>
  <c r="X76" i="6" l="1"/>
  <c r="X77" i="6" l="1"/>
  <c r="X78" i="6" l="1"/>
  <c r="X79" i="6" l="1"/>
  <c r="X80" i="6" l="1"/>
  <c r="X81" i="6" l="1"/>
  <c r="X82" i="6" l="1"/>
  <c r="X83" i="6" l="1"/>
  <c r="X84" i="6" l="1"/>
  <c r="X85" i="6" l="1"/>
  <c r="X86" i="6" l="1"/>
  <c r="X87" i="6" l="1"/>
  <c r="X88" i="6" l="1"/>
  <c r="X89" i="6" l="1"/>
  <c r="X90" i="6" l="1"/>
  <c r="X91" i="6" l="1"/>
  <c r="X92" i="6" l="1"/>
  <c r="X93" i="6" l="1"/>
  <c r="X94" i="6" l="1"/>
  <c r="X95" i="6" l="1"/>
  <c r="X96" i="6" l="1"/>
  <c r="X97" i="6" l="1"/>
  <c r="X98" i="6" l="1"/>
  <c r="X99" i="6" l="1"/>
  <c r="X100" i="6" l="1"/>
  <c r="X101" i="6" l="1"/>
  <c r="X102" i="6" l="1"/>
  <c r="X103" i="6" l="1"/>
  <c r="X104" i="6" l="1"/>
  <c r="X105" i="6" l="1"/>
  <c r="X106" i="6" l="1"/>
  <c r="X107" i="6" l="1"/>
  <c r="X108" i="6" l="1"/>
  <c r="X109" i="6" l="1"/>
  <c r="X110" i="6" l="1"/>
  <c r="X111" i="6" l="1"/>
  <c r="X112" i="6" l="1"/>
  <c r="X113" i="6" l="1"/>
  <c r="X114" i="6" l="1"/>
  <c r="X115" i="6" l="1"/>
  <c r="X116" i="6" l="1"/>
  <c r="X117" i="6" l="1"/>
  <c r="X118" i="6" l="1"/>
  <c r="X119" i="6" l="1"/>
  <c r="X120" i="6" l="1"/>
  <c r="X121" i="6" l="1"/>
  <c r="X122" i="6" l="1"/>
  <c r="X123" i="6" l="1"/>
  <c r="X124" i="6" l="1"/>
  <c r="X125" i="6" l="1"/>
  <c r="X126" i="6" l="1"/>
  <c r="X127" i="6" l="1"/>
  <c r="X128" i="6" l="1"/>
  <c r="X129" i="6" l="1"/>
  <c r="X130" i="6" l="1"/>
  <c r="X131" i="6" l="1"/>
  <c r="X132" i="6" l="1"/>
  <c r="X133" i="6" l="1"/>
  <c r="X134" i="6" l="1"/>
  <c r="X135" i="6" l="1"/>
  <c r="X136" i="6" l="1"/>
  <c r="T135" i="6" s="1"/>
  <c r="T136" i="6" l="1"/>
  <c r="T18" i="6"/>
  <c r="T19" i="6"/>
  <c r="T20" i="6"/>
  <c r="T21" i="6"/>
  <c r="T22" i="6"/>
  <c r="T23" i="6"/>
  <c r="T24" i="6"/>
  <c r="T25" i="6"/>
  <c r="T26" i="6"/>
  <c r="T27" i="6"/>
  <c r="T28" i="6"/>
  <c r="T29" i="6"/>
  <c r="T30" i="6"/>
  <c r="T31" i="6"/>
  <c r="T32" i="6"/>
  <c r="T33" i="6"/>
  <c r="T34" i="6"/>
  <c r="T35" i="6"/>
  <c r="T36" i="6"/>
  <c r="T37" i="6"/>
  <c r="T38" i="6"/>
  <c r="T39" i="6"/>
  <c r="T40" i="6"/>
  <c r="T41" i="6"/>
  <c r="T42" i="6"/>
  <c r="T43" i="6"/>
  <c r="T44" i="6"/>
  <c r="T45" i="6"/>
  <c r="T46" i="6"/>
  <c r="T47" i="6"/>
  <c r="T48" i="6"/>
  <c r="T49" i="6"/>
  <c r="T50" i="6"/>
  <c r="T51" i="6"/>
  <c r="T52" i="6"/>
  <c r="T53" i="6"/>
  <c r="T54" i="6"/>
  <c r="T55" i="6"/>
  <c r="T56" i="6"/>
  <c r="T57" i="6"/>
  <c r="T58" i="6"/>
  <c r="T59" i="6"/>
  <c r="T60" i="6"/>
  <c r="T61" i="6"/>
  <c r="T62" i="6"/>
  <c r="T63" i="6"/>
  <c r="T64" i="6"/>
  <c r="T65" i="6"/>
  <c r="T66" i="6"/>
  <c r="T67" i="6"/>
  <c r="T68" i="6"/>
  <c r="T69" i="6"/>
  <c r="T70" i="6"/>
  <c r="T71" i="6"/>
  <c r="T72" i="6"/>
  <c r="T73" i="6"/>
  <c r="T74" i="6"/>
  <c r="T75" i="6"/>
  <c r="T76" i="6"/>
  <c r="T77" i="6"/>
  <c r="T78" i="6"/>
  <c r="T79" i="6"/>
  <c r="T80" i="6"/>
  <c r="T81" i="6"/>
  <c r="T82" i="6"/>
  <c r="T83" i="6"/>
  <c r="T84" i="6"/>
  <c r="T85" i="6"/>
  <c r="T86" i="6"/>
  <c r="T87" i="6"/>
  <c r="T88" i="6"/>
  <c r="T89" i="6"/>
  <c r="T90" i="6"/>
  <c r="T91" i="6"/>
  <c r="T92" i="6"/>
  <c r="T93" i="6"/>
  <c r="T94" i="6"/>
  <c r="T95" i="6"/>
  <c r="T96" i="6"/>
  <c r="T97" i="6"/>
  <c r="T98" i="6"/>
  <c r="T99" i="6"/>
  <c r="T100" i="6"/>
  <c r="T101" i="6"/>
  <c r="T102" i="6"/>
  <c r="T103" i="6"/>
  <c r="T104" i="6"/>
  <c r="T105" i="6"/>
  <c r="T106" i="6"/>
  <c r="T107" i="6"/>
  <c r="T108" i="6"/>
  <c r="T109" i="6"/>
  <c r="T110" i="6"/>
  <c r="T111" i="6"/>
  <c r="T112" i="6"/>
  <c r="T113" i="6"/>
  <c r="T114" i="6"/>
  <c r="T115" i="6"/>
  <c r="T116" i="6"/>
  <c r="T117" i="6"/>
  <c r="T118" i="6"/>
  <c r="T119" i="6"/>
  <c r="T120" i="6"/>
  <c r="T121" i="6"/>
  <c r="T122" i="6"/>
  <c r="T123" i="6"/>
  <c r="T124" i="6"/>
  <c r="T125" i="6"/>
  <c r="T126" i="6"/>
  <c r="T127" i="6"/>
  <c r="T128" i="6"/>
  <c r="T129" i="6"/>
  <c r="T130" i="6"/>
  <c r="T131" i="6"/>
  <c r="T132" i="6"/>
  <c r="T133" i="6"/>
  <c r="T134" i="6"/>
  <c r="K3" i="4" l="1"/>
  <c r="I8" i="3"/>
  <c r="K3" i="5"/>
</calcChain>
</file>

<file path=xl/sharedStrings.xml><?xml version="1.0" encoding="utf-8"?>
<sst xmlns="http://schemas.openxmlformats.org/spreadsheetml/2006/main" count="170" uniqueCount="97">
  <si>
    <t>air/oil</t>
  </si>
  <si>
    <t>Above Free Water, ft</t>
  </si>
  <si>
    <t>Bulk</t>
  </si>
  <si>
    <t>Volume,</t>
  </si>
  <si>
    <t>Gas-Oil,</t>
  </si>
  <si>
    <t>Saturation,</t>
  </si>
  <si>
    <t>Inc. (mD)</t>
  </si>
  <si>
    <t>Cumulative</t>
  </si>
  <si>
    <t>Hg Sat</t>
  </si>
  <si>
    <t>Weight,</t>
  </si>
  <si>
    <t>Laboratory TcosTheta</t>
  </si>
  <si>
    <t>MERCURY INJECTION CAPILLARY PRESSURE</t>
  </si>
  <si>
    <t>Gas:</t>
  </si>
  <si>
    <t>cumulative</t>
  </si>
  <si>
    <t>Oil:</t>
  </si>
  <si>
    <t>Sample</t>
  </si>
  <si>
    <t>incremental</t>
  </si>
  <si>
    <t>Estimated Height</t>
  </si>
  <si>
    <t>grams</t>
  </si>
  <si>
    <t>Helium</t>
  </si>
  <si>
    <t>Funct.</t>
  </si>
  <si>
    <t>%BV</t>
  </si>
  <si>
    <t>Mercury IFT</t>
  </si>
  <si>
    <t>Grain Density, grams/cc:</t>
  </si>
  <si>
    <t>9</t>
  </si>
  <si>
    <t>Reservoir Contact Angle</t>
  </si>
  <si>
    <t>fraction</t>
  </si>
  <si>
    <t>grams/cc</t>
  </si>
  <si>
    <t>Sb/Pc</t>
  </si>
  <si>
    <t>oil/water</t>
  </si>
  <si>
    <t>Laboratory IFT</t>
  </si>
  <si>
    <t>PSD HISTOGRAM</t>
  </si>
  <si>
    <t>Laboratory Contact Angle</t>
  </si>
  <si>
    <t>intrusion</t>
  </si>
  <si>
    <t>Saturation</t>
  </si>
  <si>
    <t>O-W</t>
  </si>
  <si>
    <t>cc</t>
  </si>
  <si>
    <t>Conformance Correction,</t>
  </si>
  <si>
    <t>Norm. Pore</t>
  </si>
  <si>
    <t xml:space="preserve"> </t>
  </si>
  <si>
    <t>Density,</t>
  </si>
  <si>
    <t>Sample Number:</t>
  </si>
  <si>
    <t>Oil-Water,</t>
  </si>
  <si>
    <t>Contribution</t>
  </si>
  <si>
    <t>Size Dist.</t>
  </si>
  <si>
    <t>Pore Throat</t>
  </si>
  <si>
    <t xml:space="preserve"> 1.0-Mercury </t>
  </si>
  <si>
    <t>Radius, µm</t>
  </si>
  <si>
    <t>Fluid Density Gradients</t>
  </si>
  <si>
    <t>psia</t>
  </si>
  <si>
    <t xml:space="preserve">Mercury </t>
  </si>
  <si>
    <t>Conversion Parameters</t>
  </si>
  <si>
    <t>air/water</t>
  </si>
  <si>
    <t>Porosity, fraction:</t>
  </si>
  <si>
    <t>Diameter,</t>
  </si>
  <si>
    <t>microns</t>
  </si>
  <si>
    <t>frequency</t>
  </si>
  <si>
    <t>Corrected</t>
  </si>
  <si>
    <t>Uncorrected</t>
  </si>
  <si>
    <t>Normalized</t>
  </si>
  <si>
    <t>%PV</t>
  </si>
  <si>
    <t>Reservoir TcosTheta</t>
  </si>
  <si>
    <t>Porosity,</t>
  </si>
  <si>
    <t>Mercury</t>
  </si>
  <si>
    <t>micron</t>
  </si>
  <si>
    <t>Injection Pressure,</t>
  </si>
  <si>
    <t>G-W</t>
  </si>
  <si>
    <t>air/Hg</t>
  </si>
  <si>
    <t>d Log</t>
  </si>
  <si>
    <t>Function</t>
  </si>
  <si>
    <t>Mercury Saturation</t>
  </si>
  <si>
    <t>ml</t>
  </si>
  <si>
    <t>Water:</t>
  </si>
  <si>
    <t>IFT * Cosine Contact Angle:</t>
  </si>
  <si>
    <t>Gas-Water,</t>
  </si>
  <si>
    <t>Permeability to Air (calc), mD:</t>
  </si>
  <si>
    <t>Pore Radius,</t>
  </si>
  <si>
    <t>Mercury Injection</t>
  </si>
  <si>
    <t>Pressure,</t>
  </si>
  <si>
    <t>Radius,</t>
  </si>
  <si>
    <t>d Sw/d Log</t>
  </si>
  <si>
    <t>Reservoir IFT</t>
  </si>
  <si>
    <t>&lt; 0.0018</t>
  </si>
  <si>
    <t>Mercury Contact Angle</t>
  </si>
  <si>
    <t>Grain</t>
  </si>
  <si>
    <t>Injection</t>
  </si>
  <si>
    <t>Other Laboratory Systems</t>
  </si>
  <si>
    <t>Permeability</t>
  </si>
  <si>
    <t>J</t>
  </si>
  <si>
    <t>Pore</t>
  </si>
  <si>
    <t>Cum. (mD)</t>
  </si>
  <si>
    <t>Incremental</t>
  </si>
  <si>
    <t>Sample Depth, m:</t>
  </si>
  <si>
    <t>NordAq Energy Inc.</t>
  </si>
  <si>
    <t>East Simpson No. 2 (USGS/Husky 1980)</t>
  </si>
  <si>
    <t>Torok Sandstones Formation</t>
  </si>
  <si>
    <t>HH-61176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</si>
</sst>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6" formatCode="0.0_)"/>
    <numFmt numFmtId="168" formatCode="0.0"/>
    <numFmt numFmtId="169" formatCode="0.000"/>
    <numFmt numFmtId="170" formatCode="0.0000"/>
    <numFmt numFmtId="171" formatCode="???0.00"/>
    <numFmt numFmtId="172" formatCode="[&lt;1]0.?0;[&gt;10]0;0.0"/>
    <numFmt numFmtId="173" formatCode="[&lt;1]0.000;[&gt;10]0.0;0.00"/>
    <numFmt numFmtId="174" formatCode="[&lt;0.1]0.000;[&gt;0.1]0.00;0.0"/>
    <numFmt numFmtId="175" formatCode="[Blue]General"/>
    <numFmt numFmtId="176" formatCode="?????.0"/>
    <numFmt numFmtId="177" formatCode="[&lt;10]???0.00;[&gt;100]???0;???0.0"/>
    <numFmt numFmtId="178" formatCode="?????"/>
    <numFmt numFmtId="179" formatCode="?????.00"/>
    <numFmt numFmtId="180" formatCode="[&lt;100]????0.0;[&gt;100]?????;General"/>
    <numFmt numFmtId="181" formatCode="????0.00"/>
    <numFmt numFmtId="183" formatCode="??0."/>
    <numFmt numFmtId="184" formatCode="??????0.0000"/>
    <numFmt numFmtId="186" formatCode="????0.0?"/>
    <numFmt numFmtId="187" formatCode="????0.??"/>
    <numFmt numFmtId="188" formatCode="0.00??"/>
    <numFmt numFmtId="189" formatCode="0.00000"/>
    <numFmt numFmtId="191" formatCode="m\-dd\-yy"/>
    <numFmt numFmtId="192" formatCode="??0.000"/>
    <numFmt numFmtId="194" formatCode="???0.000"/>
    <numFmt numFmtId="196" formatCode="????0.000"/>
    <numFmt numFmtId="197" formatCode="??0.0000"/>
    <numFmt numFmtId="198" formatCode="0.0\ \ \ \ "/>
  </numFmts>
  <fonts count="9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color indexed="12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8" fillId="0" borderId="0"/>
  </cellStyleXfs>
  <cellXfs count="172">
    <xf numFmtId="0" fontId="0" fillId="0" borderId="0" xfId="0"/>
    <xf numFmtId="181" fontId="0" fillId="0" borderId="0" xfId="3" applyNumberFormat="1" applyFont="1" applyAlignment="1" applyProtection="1">
      <alignment horizontal="center"/>
    </xf>
    <xf numFmtId="0" fontId="0" fillId="0" borderId="0" xfId="3" applyFont="1" applyAlignment="1" applyProtection="1">
      <alignment horizontal="right"/>
    </xf>
    <xf numFmtId="0" fontId="0" fillId="0" borderId="0" xfId="3" applyFont="1" applyBorder="1" applyProtection="1"/>
    <xf numFmtId="0" fontId="0" fillId="0" borderId="0" xfId="0" applyFont="1" applyAlignment="1">
      <alignment horizontal="center"/>
    </xf>
    <xf numFmtId="196" fontId="0" fillId="0" borderId="0" xfId="3" applyNumberFormat="1" applyFont="1" applyAlignment="1" applyProtection="1">
      <alignment horizontal="left"/>
    </xf>
    <xf numFmtId="0" fontId="2" fillId="0" borderId="0" xfId="3" applyFont="1" applyAlignment="1" applyProtection="1">
      <alignment horizontal="center"/>
    </xf>
    <xf numFmtId="191" fontId="0" fillId="0" borderId="0" xfId="2" applyNumberFormat="1" applyFont="1" applyFill="1"/>
    <xf numFmtId="0" fontId="0" fillId="0" borderId="3" xfId="0" applyBorder="1" applyAlignment="1">
      <alignment horizontal="center"/>
    </xf>
    <xf numFmtId="175" fontId="0" fillId="0" borderId="0" xfId="3" applyNumberFormat="1" applyFont="1" applyBorder="1" applyAlignment="1" applyProtection="1">
      <alignment horizontal="center"/>
      <protection locked="0"/>
    </xf>
    <xf numFmtId="177" fontId="0" fillId="0" borderId="0" xfId="3" applyNumberFormat="1" applyFont="1" applyBorder="1" applyAlignment="1" applyProtection="1">
      <alignment horizontal="center"/>
    </xf>
    <xf numFmtId="179" fontId="0" fillId="0" borderId="0" xfId="3" applyNumberFormat="1" applyFont="1" applyBorder="1" applyAlignment="1" applyProtection="1">
      <alignment horizontal="center"/>
    </xf>
    <xf numFmtId="0" fontId="0" fillId="0" borderId="0" xfId="3" applyFont="1" applyAlignment="1">
      <alignment horizontal="centerContinuous"/>
    </xf>
    <xf numFmtId="0" fontId="0" fillId="0" borderId="0" xfId="3" applyFont="1" applyAlignment="1" applyProtection="1">
      <alignment horizontal="left"/>
    </xf>
    <xf numFmtId="1" fontId="0" fillId="0" borderId="0" xfId="3" applyNumberFormat="1" applyFont="1" applyBorder="1" applyProtection="1"/>
    <xf numFmtId="168" fontId="0" fillId="0" borderId="0" xfId="0" applyNumberFormat="1" applyBorder="1" applyAlignment="1">
      <alignment horizontal="center"/>
    </xf>
    <xf numFmtId="0" fontId="0" fillId="0" borderId="1" xfId="3" applyFont="1" applyBorder="1" applyAlignment="1" applyProtection="1">
      <alignment horizontal="center" vertical="center"/>
    </xf>
    <xf numFmtId="0" fontId="0" fillId="0" borderId="0" xfId="0" applyFill="1" applyBorder="1" applyAlignment="1"/>
    <xf numFmtId="2" fontId="0" fillId="0" borderId="0" xfId="0" applyNumberFormat="1" applyAlignment="1">
      <alignment horizontal="center"/>
    </xf>
    <xf numFmtId="1" fontId="0" fillId="0" borderId="0" xfId="0" quotePrefix="1" applyNumberFormat="1" applyFont="1" applyAlignment="1">
      <alignment horizontal="right"/>
    </xf>
    <xf numFmtId="169" fontId="3" fillId="0" borderId="7" xfId="3" applyNumberFormat="1" applyFont="1" applyBorder="1" applyProtection="1">
      <protection locked="0"/>
    </xf>
    <xf numFmtId="169" fontId="0" fillId="0" borderId="0" xfId="0" applyNumberFormat="1" applyFont="1" applyAlignment="1">
      <alignment horizontal="center"/>
    </xf>
    <xf numFmtId="0" fontId="0" fillId="0" borderId="0" xfId="3" applyNumberFormat="1" applyFont="1" applyProtection="1"/>
    <xf numFmtId="166" fontId="0" fillId="0" borderId="0" xfId="3" applyNumberFormat="1" applyFont="1" applyBorder="1" applyAlignment="1" applyProtection="1">
      <alignment horizontal="center"/>
    </xf>
    <xf numFmtId="174" fontId="0" fillId="0" borderId="0" xfId="3" applyNumberFormat="1" applyFont="1" applyBorder="1" applyAlignment="1" applyProtection="1">
      <alignment horizontal="center"/>
    </xf>
    <xf numFmtId="186" fontId="0" fillId="0" borderId="0" xfId="3" applyNumberFormat="1" applyFont="1" applyAlignment="1" applyProtection="1">
      <alignment horizontal="center"/>
    </xf>
    <xf numFmtId="180" fontId="0" fillId="0" borderId="0" xfId="3" applyNumberFormat="1" applyFont="1" applyBorder="1" applyAlignment="1" applyProtection="1">
      <alignment horizontal="center"/>
    </xf>
    <xf numFmtId="0" fontId="3" fillId="0" borderId="0" xfId="3" applyNumberFormat="1" applyFont="1" applyBorder="1" applyAlignment="1" applyProtection="1">
      <alignment horizontal="center"/>
      <protection locked="0"/>
    </xf>
    <xf numFmtId="0" fontId="0" fillId="0" borderId="0" xfId="3" applyFont="1" applyAlignment="1" applyProtection="1">
      <alignment horizontal="centerContinuous"/>
    </xf>
    <xf numFmtId="0" fontId="0" fillId="0" borderId="0" xfId="3" applyFont="1" applyAlignment="1"/>
    <xf numFmtId="0" fontId="3" fillId="0" borderId="4" xfId="3" applyNumberFormat="1" applyFont="1" applyBorder="1" applyAlignment="1" applyProtection="1">
      <alignment horizontal="center"/>
      <protection locked="0"/>
    </xf>
    <xf numFmtId="0" fontId="0" fillId="0" borderId="8" xfId="0" applyFont="1" applyBorder="1"/>
    <xf numFmtId="0" fontId="0" fillId="0" borderId="0" xfId="0" applyFont="1" applyBorder="1" applyAlignment="1">
      <alignment horizontal="center"/>
    </xf>
    <xf numFmtId="0" fontId="0" fillId="2" borderId="0" xfId="0" applyFill="1" applyBorder="1" applyAlignment="1">
      <alignment vertical="center"/>
    </xf>
    <xf numFmtId="169" fontId="0" fillId="0" borderId="0" xfId="3" applyNumberFormat="1" applyFont="1" applyAlignment="1">
      <alignment horizontal="center"/>
    </xf>
    <xf numFmtId="168" fontId="0" fillId="0" borderId="0" xfId="3" applyNumberFormat="1" applyFont="1" applyProtection="1"/>
    <xf numFmtId="0" fontId="0" fillId="0" borderId="11" xfId="3" applyFont="1" applyBorder="1" applyAlignment="1" applyProtection="1">
      <alignment horizontal="centerContinuous" vertical="center"/>
    </xf>
    <xf numFmtId="0" fontId="0" fillId="0" borderId="0" xfId="3" applyFont="1" applyAlignment="1" applyProtection="1">
      <alignment horizontal="center"/>
    </xf>
    <xf numFmtId="183" fontId="0" fillId="0" borderId="0" xfId="0" applyNumberFormat="1" applyAlignment="1">
      <alignment horizontal="center"/>
    </xf>
    <xf numFmtId="192" fontId="0" fillId="0" borderId="0" xfId="3" applyNumberFormat="1" applyFont="1" applyBorder="1" applyAlignment="1" applyProtection="1">
      <alignment horizontal="centerContinuous"/>
    </xf>
    <xf numFmtId="171" fontId="0" fillId="0" borderId="0" xfId="3" applyNumberFormat="1" applyFont="1" applyAlignment="1" applyProtection="1">
      <alignment horizontal="center"/>
    </xf>
    <xf numFmtId="0" fontId="0" fillId="0" borderId="2" xfId="3" applyFont="1" applyBorder="1" applyAlignment="1" applyProtection="1">
      <alignment horizontal="centerContinuous" vertical="center"/>
    </xf>
    <xf numFmtId="169" fontId="0" fillId="0" borderId="0" xfId="3" applyNumberFormat="1" applyFont="1" applyAlignment="1" applyProtection="1">
      <alignment horizontal="center"/>
    </xf>
    <xf numFmtId="169" fontId="0" fillId="0" borderId="1" xfId="3" applyNumberFormat="1" applyFont="1" applyBorder="1" applyAlignment="1" applyProtection="1">
      <alignment horizontal="center"/>
    </xf>
    <xf numFmtId="0" fontId="0" fillId="0" borderId="0" xfId="0" applyFont="1"/>
    <xf numFmtId="2" fontId="0" fillId="0" borderId="0" xfId="0" applyNumberFormat="1" applyFont="1" applyAlignment="1"/>
    <xf numFmtId="1" fontId="3" fillId="0" borderId="11" xfId="3" applyNumberFormat="1" applyFont="1" applyBorder="1" applyAlignment="1" applyProtection="1">
      <alignment horizontal="center"/>
      <protection locked="0"/>
    </xf>
    <xf numFmtId="192" fontId="0" fillId="0" borderId="0" xfId="3" applyNumberFormat="1" applyFont="1" applyBorder="1" applyAlignment="1" applyProtection="1">
      <alignment horizontal="center"/>
    </xf>
    <xf numFmtId="177" fontId="0" fillId="0" borderId="0" xfId="3" applyNumberFormat="1" applyFont="1" applyBorder="1" applyProtection="1"/>
    <xf numFmtId="1" fontId="3" fillId="0" borderId="12" xfId="3" applyNumberFormat="1" applyFont="1" applyBorder="1" applyAlignment="1" applyProtection="1">
      <alignment horizontal="center"/>
      <protection locked="0"/>
    </xf>
    <xf numFmtId="0" fontId="0" fillId="0" borderId="8" xfId="0" applyBorder="1" applyAlignment="1">
      <alignment horizontal="center"/>
    </xf>
    <xf numFmtId="169" fontId="3" fillId="0" borderId="0" xfId="0" applyNumberFormat="1" applyFont="1"/>
    <xf numFmtId="0" fontId="0" fillId="0" borderId="0" xfId="3" applyNumberFormat="1" applyFont="1" applyBorder="1" applyAlignment="1" applyProtection="1">
      <alignment horizontal="center"/>
    </xf>
    <xf numFmtId="172" fontId="0" fillId="0" borderId="0" xfId="3" applyNumberFormat="1" applyFont="1" applyAlignment="1" applyProtection="1">
      <alignment horizontal="center"/>
    </xf>
    <xf numFmtId="0" fontId="0" fillId="0" borderId="4" xfId="3" applyNumberFormat="1" applyFont="1" applyBorder="1" applyAlignment="1" applyProtection="1">
      <alignment horizontal="center"/>
    </xf>
    <xf numFmtId="169" fontId="0" fillId="0" borderId="0" xfId="0" applyNumberFormat="1" applyFont="1"/>
    <xf numFmtId="173" fontId="0" fillId="0" borderId="0" xfId="3" applyNumberFormat="1" applyFont="1" applyBorder="1" applyAlignment="1" applyProtection="1">
      <alignment horizontal="center"/>
    </xf>
    <xf numFmtId="0" fontId="2" fillId="0" borderId="0" xfId="3" applyFont="1" applyBorder="1" applyAlignment="1">
      <alignment horizontal="centerContinuous"/>
    </xf>
    <xf numFmtId="189" fontId="0" fillId="0" borderId="0" xfId="0" applyNumberFormat="1" applyFont="1" applyAlignment="1">
      <alignment horizontal="right"/>
    </xf>
    <xf numFmtId="0" fontId="0" fillId="0" borderId="0" xfId="3" applyFont="1"/>
    <xf numFmtId="184" fontId="0" fillId="0" borderId="0" xfId="0" applyNumberFormat="1" applyAlignment="1">
      <alignment horizontal="center"/>
    </xf>
    <xf numFmtId="169" fontId="0" fillId="0" borderId="0" xfId="0" applyNumberFormat="1" applyBorder="1" applyAlignment="1">
      <alignment horizontal="center"/>
    </xf>
    <xf numFmtId="2" fontId="0" fillId="0" borderId="0" xfId="0" applyNumberFormat="1" applyFont="1" applyAlignment="1">
      <alignment horizontal="right"/>
    </xf>
    <xf numFmtId="188" fontId="0" fillId="0" borderId="0" xfId="3" applyNumberFormat="1" applyFont="1" applyAlignment="1" applyProtection="1">
      <alignment horizontal="center"/>
    </xf>
    <xf numFmtId="0" fontId="0" fillId="0" borderId="0" xfId="3" applyFont="1" applyFill="1"/>
    <xf numFmtId="0" fontId="0" fillId="0" borderId="0" xfId="0" applyFont="1" applyBorder="1"/>
    <xf numFmtId="181" fontId="0" fillId="0" borderId="0" xfId="3" applyNumberFormat="1" applyFont="1" applyBorder="1" applyAlignment="1" applyProtection="1">
      <alignment horizontal="centerContinuous"/>
    </xf>
    <xf numFmtId="169" fontId="0" fillId="0" borderId="0" xfId="3" applyNumberFormat="1" applyFont="1" applyAlignment="1" applyProtection="1">
      <alignment horizontal="right"/>
    </xf>
    <xf numFmtId="2" fontId="0" fillId="0" borderId="1" xfId="3" applyNumberFormat="1" applyFont="1" applyBorder="1" applyAlignment="1" applyProtection="1">
      <alignment horizontal="center"/>
    </xf>
    <xf numFmtId="170" fontId="0" fillId="0" borderId="0" xfId="0" applyNumberFormat="1" applyBorder="1" applyAlignment="1">
      <alignment horizontal="center"/>
    </xf>
    <xf numFmtId="0" fontId="0" fillId="0" borderId="14" xfId="3" applyFont="1" applyBorder="1" applyAlignment="1" applyProtection="1">
      <alignment horizontal="center" vertical="center"/>
    </xf>
    <xf numFmtId="169" fontId="0" fillId="0" borderId="0" xfId="3" applyNumberFormat="1" applyFont="1"/>
    <xf numFmtId="194" fontId="0" fillId="0" borderId="0" xfId="3" applyNumberFormat="1" applyFont="1" applyFill="1" applyAlignment="1" applyProtection="1">
      <alignment horizontal="center"/>
    </xf>
    <xf numFmtId="0" fontId="0" fillId="0" borderId="0" xfId="3" applyFont="1" applyProtection="1"/>
    <xf numFmtId="0" fontId="0" fillId="0" borderId="0" xfId="3" applyFont="1" applyBorder="1" applyAlignment="1" applyProtection="1">
      <alignment horizontal="centerContinuous" vertical="center"/>
    </xf>
    <xf numFmtId="0" fontId="4" fillId="2" borderId="0" xfId="0" applyFont="1" applyFill="1" applyBorder="1" applyAlignment="1">
      <alignment vertical="center"/>
    </xf>
    <xf numFmtId="0" fontId="0" fillId="0" borderId="14" xfId="3" applyFont="1" applyFill="1" applyBorder="1" applyAlignment="1" applyProtection="1">
      <alignment horizontal="center" vertical="center"/>
    </xf>
    <xf numFmtId="0" fontId="0" fillId="0" borderId="10" xfId="3" applyFont="1" applyBorder="1" applyAlignment="1" applyProtection="1">
      <alignment horizontal="center"/>
    </xf>
    <xf numFmtId="181" fontId="0" fillId="0" borderId="0" xfId="3" applyNumberFormat="1" applyFont="1" applyBorder="1" applyAlignment="1" applyProtection="1">
      <alignment horizontal="center"/>
    </xf>
    <xf numFmtId="1" fontId="0" fillId="0" borderId="0" xfId="3" applyNumberFormat="1" applyFont="1" applyProtection="1"/>
    <xf numFmtId="168" fontId="0" fillId="0" borderId="0" xfId="0" applyNumberFormat="1" applyAlignment="1">
      <alignment horizontal="center"/>
    </xf>
    <xf numFmtId="2" fontId="0" fillId="0" borderId="0" xfId="0" applyNumberFormat="1" applyFont="1"/>
    <xf numFmtId="0" fontId="0" fillId="0" borderId="0" xfId="3" applyFont="1" applyFill="1" applyProtection="1"/>
    <xf numFmtId="197" fontId="0" fillId="0" borderId="0" xfId="3" applyNumberFormat="1" applyFont="1" applyAlignment="1" applyProtection="1">
      <alignment horizontal="center"/>
    </xf>
    <xf numFmtId="170" fontId="0" fillId="0" borderId="0" xfId="0" applyNumberFormat="1" applyFill="1" applyBorder="1" applyAlignment="1"/>
    <xf numFmtId="181" fontId="0" fillId="0" borderId="6" xfId="3" applyNumberFormat="1" applyFont="1" applyBorder="1" applyAlignment="1" applyProtection="1">
      <alignment horizontal="centerContinuous"/>
    </xf>
    <xf numFmtId="178" fontId="0" fillId="0" borderId="0" xfId="3" applyNumberFormat="1" applyFont="1" applyBorder="1" applyAlignment="1" applyProtection="1">
      <alignment horizontal="center"/>
    </xf>
    <xf numFmtId="0" fontId="0" fillId="0" borderId="0" xfId="3" applyFont="1" applyBorder="1" applyAlignment="1" applyProtection="1">
      <alignment horizontal="center"/>
      <protection locked="0"/>
    </xf>
    <xf numFmtId="0" fontId="0" fillId="0" borderId="0" xfId="3" applyFont="1" applyBorder="1" applyAlignment="1" applyProtection="1">
      <alignment horizontal="center" vertical="center"/>
    </xf>
    <xf numFmtId="0" fontId="0" fillId="0" borderId="0" xfId="3" applyFont="1" applyBorder="1" applyAlignment="1" applyProtection="1">
      <alignment horizontal="left"/>
    </xf>
    <xf numFmtId="0" fontId="0" fillId="0" borderId="0" xfId="3" applyFont="1" applyBorder="1" applyAlignment="1">
      <alignment horizontal="centerContinuous"/>
    </xf>
    <xf numFmtId="1" fontId="3" fillId="0" borderId="0" xfId="3" applyNumberFormat="1" applyFont="1" applyBorder="1" applyAlignment="1" applyProtection="1">
      <alignment horizontal="center"/>
      <protection locked="0"/>
    </xf>
    <xf numFmtId="2" fontId="0" fillId="0" borderId="0" xfId="0" applyNumberFormat="1" applyBorder="1" applyAlignment="1">
      <alignment horizontal="center"/>
    </xf>
    <xf numFmtId="0" fontId="0" fillId="0" borderId="4" xfId="3" applyFont="1" applyBorder="1" applyAlignment="1" applyProtection="1">
      <alignment horizontal="center"/>
      <protection locked="0"/>
    </xf>
    <xf numFmtId="169" fontId="3" fillId="0" borderId="11" xfId="3" applyNumberFormat="1" applyFont="1" applyBorder="1" applyProtection="1">
      <protection locked="0"/>
    </xf>
    <xf numFmtId="181" fontId="0" fillId="0" borderId="10" xfId="3" applyNumberFormat="1" applyFont="1" applyBorder="1" applyAlignment="1" applyProtection="1">
      <alignment horizontal="centerContinuous"/>
    </xf>
    <xf numFmtId="0" fontId="0" fillId="0" borderId="5" xfId="3" applyFont="1" applyBorder="1" applyAlignment="1" applyProtection="1">
      <alignment horizontal="centerContinuous" vertical="center"/>
    </xf>
    <xf numFmtId="169" fontId="0" fillId="0" borderId="0" xfId="0" applyNumberFormat="1" applyFont="1" applyBorder="1" applyAlignment="1">
      <alignment horizontal="center"/>
    </xf>
    <xf numFmtId="0" fontId="0" fillId="0" borderId="0" xfId="3" applyNumberFormat="1" applyFont="1" applyBorder="1" applyProtection="1"/>
    <xf numFmtId="2" fontId="0" fillId="0" borderId="0" xfId="3" applyNumberFormat="1" applyFont="1" applyAlignment="1" applyProtection="1">
      <alignment horizontal="right"/>
    </xf>
    <xf numFmtId="0" fontId="0" fillId="0" borderId="3" xfId="3" applyFont="1" applyBorder="1" applyAlignment="1" applyProtection="1">
      <alignment horizontal="center" vertical="center"/>
    </xf>
    <xf numFmtId="0" fontId="0" fillId="0" borderId="13" xfId="3" applyFont="1" applyBorder="1"/>
    <xf numFmtId="169" fontId="3" fillId="0" borderId="12" xfId="3" applyNumberFormat="1" applyFont="1" applyBorder="1" applyProtection="1">
      <protection locked="0"/>
    </xf>
    <xf numFmtId="0" fontId="0" fillId="0" borderId="0" xfId="3" applyFont="1" applyBorder="1" applyAlignment="1">
      <alignment horizontal="center"/>
    </xf>
    <xf numFmtId="0" fontId="0" fillId="0" borderId="0" xfId="3" applyNumberFormat="1" applyFont="1" applyAlignment="1" applyProtection="1">
      <alignment horizontal="left"/>
    </xf>
    <xf numFmtId="192" fontId="0" fillId="0" borderId="15" xfId="3" applyNumberFormat="1" applyFont="1" applyBorder="1" applyAlignment="1" applyProtection="1">
      <alignment horizontal="centerContinuous"/>
    </xf>
    <xf numFmtId="0" fontId="0" fillId="0" borderId="5" xfId="3" applyFont="1" applyBorder="1"/>
    <xf numFmtId="0" fontId="0" fillId="0" borderId="0" xfId="3" applyFont="1" applyBorder="1" applyAlignment="1" applyProtection="1">
      <alignment horizontal="centerContinuous"/>
    </xf>
    <xf numFmtId="0" fontId="0" fillId="0" borderId="4" xfId="3" applyFont="1" applyBorder="1" applyAlignment="1">
      <alignment horizontal="center"/>
    </xf>
    <xf numFmtId="0" fontId="0" fillId="0" borderId="3" xfId="3" applyFont="1" applyFill="1" applyBorder="1" applyAlignment="1" applyProtection="1">
      <alignment horizontal="center" vertical="center"/>
    </xf>
    <xf numFmtId="0" fontId="0" fillId="0" borderId="0" xfId="3" applyFont="1" applyBorder="1" applyAlignment="1"/>
    <xf numFmtId="0" fontId="0" fillId="0" borderId="7" xfId="3" applyFont="1" applyBorder="1" applyAlignment="1" applyProtection="1">
      <alignment horizontal="centerContinuous" vertical="center"/>
    </xf>
    <xf numFmtId="0" fontId="0" fillId="0" borderId="2" xfId="3" applyFont="1" applyBorder="1"/>
    <xf numFmtId="169" fontId="0" fillId="0" borderId="0" xfId="3" applyNumberFormat="1" applyFont="1" applyBorder="1" applyAlignment="1">
      <alignment horizontal="center"/>
    </xf>
    <xf numFmtId="0" fontId="0" fillId="0" borderId="13" xfId="3" applyFont="1" applyBorder="1" applyProtection="1"/>
    <xf numFmtId="168" fontId="0" fillId="0" borderId="0" xfId="3" applyNumberFormat="1" applyFont="1" applyBorder="1" applyProtection="1"/>
    <xf numFmtId="0" fontId="0" fillId="0" borderId="0" xfId="3" applyFont="1" applyBorder="1" applyAlignment="1" applyProtection="1">
      <alignment horizontal="center"/>
    </xf>
    <xf numFmtId="191" fontId="0" fillId="0" borderId="0" xfId="0" applyNumberFormat="1" applyAlignment="1">
      <alignment horizontal="left"/>
    </xf>
    <xf numFmtId="183" fontId="0" fillId="0" borderId="0" xfId="0" applyNumberFormat="1" applyBorder="1" applyAlignment="1">
      <alignment horizontal="center"/>
    </xf>
    <xf numFmtId="0" fontId="0" fillId="0" borderId="6" xfId="3" applyFont="1" applyBorder="1" applyAlignment="1">
      <alignment horizontal="center"/>
    </xf>
    <xf numFmtId="175" fontId="0" fillId="0" borderId="11" xfId="3" applyNumberFormat="1" applyFont="1" applyBorder="1" applyAlignment="1" applyProtection="1">
      <alignment horizontal="center"/>
      <protection locked="0"/>
    </xf>
    <xf numFmtId="0" fontId="0" fillId="0" borderId="5" xfId="3" applyFont="1" applyBorder="1" applyProtection="1"/>
    <xf numFmtId="198" fontId="0" fillId="0" borderId="0" xfId="0" quotePrefix="1" applyNumberFormat="1" applyFont="1" applyBorder="1" applyAlignment="1">
      <alignment horizontal="left"/>
    </xf>
    <xf numFmtId="192" fontId="0" fillId="0" borderId="0" xfId="3" applyNumberFormat="1" applyFont="1" applyAlignment="1" applyProtection="1">
      <alignment horizontal="center"/>
    </xf>
    <xf numFmtId="0" fontId="0" fillId="0" borderId="9" xfId="3" applyFont="1" applyBorder="1" applyAlignment="1" applyProtection="1">
      <alignment horizontal="centerContinuous" vertical="center"/>
    </xf>
    <xf numFmtId="169" fontId="0" fillId="0" borderId="0" xfId="3" applyNumberFormat="1" applyFont="1" applyBorder="1" applyAlignment="1" applyProtection="1">
      <alignment horizontal="center"/>
    </xf>
    <xf numFmtId="194" fontId="0" fillId="0" borderId="0" xfId="3" applyNumberFormat="1" applyFont="1" applyAlignment="1" applyProtection="1">
      <alignment horizontal="center"/>
    </xf>
    <xf numFmtId="176" fontId="0" fillId="0" borderId="0" xfId="3" applyNumberFormat="1" applyFont="1" applyBorder="1" applyAlignment="1" applyProtection="1">
      <alignment horizontal="center"/>
    </xf>
    <xf numFmtId="196" fontId="0" fillId="0" borderId="0" xfId="3" applyNumberFormat="1" applyFont="1" applyAlignment="1" applyProtection="1">
      <alignment horizontal="center"/>
    </xf>
    <xf numFmtId="166" fontId="0" fillId="0" borderId="11" xfId="3" applyNumberFormat="1" applyFont="1" applyBorder="1" applyAlignment="1" applyProtection="1">
      <alignment horizontal="center"/>
    </xf>
    <xf numFmtId="0" fontId="0" fillId="0" borderId="0" xfId="0" applyFont="1" applyAlignment="1">
      <alignment horizontal="right"/>
    </xf>
    <xf numFmtId="0" fontId="0" fillId="0" borderId="6" xfId="3" applyFont="1" applyBorder="1" applyAlignment="1" applyProtection="1">
      <alignment horizontal="center"/>
    </xf>
    <xf numFmtId="166" fontId="0" fillId="0" borderId="12" xfId="3" applyNumberFormat="1" applyFont="1" applyBorder="1" applyAlignment="1" applyProtection="1">
      <alignment horizontal="center"/>
    </xf>
    <xf numFmtId="0" fontId="2" fillId="0" borderId="0" xfId="3" applyFont="1" applyAlignment="1">
      <alignment horizontal="centerContinuous"/>
    </xf>
    <xf numFmtId="0" fontId="5" fillId="0" borderId="0" xfId="3" applyFont="1" applyProtection="1"/>
    <xf numFmtId="0" fontId="0" fillId="0" borderId="9" xfId="3" applyFont="1" applyBorder="1"/>
    <xf numFmtId="170" fontId="0" fillId="0" borderId="0" xfId="3" applyNumberFormat="1" applyFont="1" applyAlignment="1" applyProtection="1">
      <alignment horizontal="right"/>
    </xf>
    <xf numFmtId="0" fontId="0" fillId="0" borderId="9" xfId="3" applyFont="1" applyBorder="1" applyAlignment="1" applyProtection="1">
      <alignment horizontal="left"/>
    </xf>
    <xf numFmtId="0" fontId="0" fillId="0" borderId="11" xfId="0" applyFont="1" applyBorder="1" applyAlignment="1">
      <alignment horizontal="center"/>
    </xf>
    <xf numFmtId="169" fontId="0" fillId="0" borderId="0" xfId="0" applyNumberFormat="1" applyFont="1" applyBorder="1"/>
    <xf numFmtId="169" fontId="3" fillId="0" borderId="0" xfId="3" applyNumberFormat="1" applyFont="1" applyBorder="1" applyProtection="1">
      <protection locked="0"/>
    </xf>
    <xf numFmtId="187" fontId="0" fillId="0" borderId="0" xfId="3" applyNumberFormat="1" applyFont="1" applyAlignment="1" applyProtection="1">
      <alignment horizontal="center"/>
    </xf>
    <xf numFmtId="0" fontId="0" fillId="0" borderId="0" xfId="0" applyFill="1" applyBorder="1" applyAlignment="1">
      <alignment vertical="center"/>
    </xf>
    <xf numFmtId="169" fontId="0" fillId="0" borderId="0" xfId="0" applyNumberFormat="1" applyAlignment="1">
      <alignment horizontal="center"/>
    </xf>
    <xf numFmtId="0" fontId="0" fillId="0" borderId="0" xfId="3" applyFont="1" applyAlignment="1">
      <alignment horizontal="right"/>
    </xf>
    <xf numFmtId="14" fontId="0" fillId="0" borderId="0" xfId="0" applyNumberFormat="1" applyFont="1"/>
    <xf numFmtId="0" fontId="0" fillId="0" borderId="8" xfId="3" applyFont="1" applyBorder="1" applyAlignment="1" applyProtection="1">
      <alignment horizontal="center" vertical="center"/>
    </xf>
    <xf numFmtId="0" fontId="0" fillId="0" borderId="0" xfId="3" applyFont="1" applyBorder="1"/>
    <xf numFmtId="184" fontId="0" fillId="0" borderId="0" xfId="0" applyNumberFormat="1" applyBorder="1" applyAlignment="1">
      <alignment horizontal="center"/>
    </xf>
    <xf numFmtId="169" fontId="3" fillId="0" borderId="0" xfId="3" applyNumberFormat="1" applyFont="1" applyFill="1" applyBorder="1" applyProtection="1">
      <protection locked="0"/>
    </xf>
    <xf numFmtId="0" fontId="6" fillId="0" borderId="0" xfId="3" applyFont="1" applyAlignment="1" applyProtection="1"/>
    <xf numFmtId="0" fontId="2" fillId="0" borderId="0" xfId="3" applyFont="1" applyAlignment="1" applyProtection="1">
      <alignment horizontal="centerContinuous"/>
    </xf>
    <xf numFmtId="170" fontId="0" fillId="0" borderId="0" xfId="0" applyNumberFormat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0" fillId="0" borderId="4" xfId="3" applyFont="1" applyBorder="1"/>
    <xf numFmtId="0" fontId="0" fillId="0" borderId="9" xfId="3" applyFont="1" applyBorder="1" applyProtection="1"/>
    <xf numFmtId="0" fontId="0" fillId="0" borderId="8" xfId="3" applyFont="1" applyFill="1" applyBorder="1" applyAlignment="1" applyProtection="1">
      <alignment horizontal="center" vertical="center"/>
    </xf>
    <xf numFmtId="2" fontId="0" fillId="0" borderId="0" xfId="3" applyNumberFormat="1" applyFont="1" applyBorder="1" applyAlignment="1" applyProtection="1">
      <alignment horizontal="center"/>
    </xf>
    <xf numFmtId="0" fontId="0" fillId="0" borderId="0" xfId="0" applyBorder="1" applyAlignment="1">
      <alignment horizontal="center"/>
    </xf>
    <xf numFmtId="169" fontId="0" fillId="0" borderId="0" xfId="3" applyNumberFormat="1" applyFont="1" applyBorder="1"/>
    <xf numFmtId="169" fontId="0" fillId="0" borderId="0" xfId="0" applyNumberFormat="1" applyFont="1" applyAlignment="1">
      <alignment horizontal="right"/>
    </xf>
    <xf numFmtId="0" fontId="6" fillId="0" borderId="0" xfId="3" applyFont="1" applyAlignment="1" applyProtection="1">
      <alignment horizontal="center"/>
    </xf>
    <xf numFmtId="192" fontId="0" fillId="0" borderId="5" xfId="3" applyNumberFormat="1" applyFont="1" applyBorder="1" applyAlignment="1" applyProtection="1">
      <alignment horizontal="center"/>
    </xf>
    <xf numFmtId="192" fontId="0" fillId="0" borderId="7" xfId="3" applyNumberFormat="1" applyFont="1" applyBorder="1" applyAlignment="1" applyProtection="1">
      <alignment horizontal="center"/>
    </xf>
    <xf numFmtId="0" fontId="0" fillId="0" borderId="13" xfId="0" applyFont="1" applyBorder="1" applyAlignment="1">
      <alignment horizontal="center"/>
    </xf>
    <xf numFmtId="0" fontId="0" fillId="0" borderId="12" xfId="0" applyFont="1" applyBorder="1" applyAlignment="1">
      <alignment horizontal="center"/>
    </xf>
    <xf numFmtId="2" fontId="0" fillId="0" borderId="15" xfId="3" applyNumberFormat="1" applyFont="1" applyBorder="1" applyAlignment="1" applyProtection="1">
      <alignment horizontal="center"/>
    </xf>
    <xf numFmtId="2" fontId="0" fillId="0" borderId="10" xfId="3" applyNumberFormat="1" applyFont="1" applyBorder="1" applyAlignment="1" applyProtection="1">
      <alignment horizontal="center"/>
    </xf>
    <xf numFmtId="0" fontId="0" fillId="0" borderId="0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4">
    <cellStyle name="Normal" xfId="0" builtinId="0"/>
    <cellStyle name="Normal 2" xfId="1"/>
    <cellStyle name="Normal_Core Data H-3258" xfId="2"/>
    <cellStyle name="Normal_HG-DATA_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5492957746478872"/>
          <c:y val="7.0234113712374549E-2"/>
          <c:w val="0.76760563380283331"/>
          <c:h val="0.81605351170568552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Table!$B$18:$B$136</c:f>
              <c:numCache>
                <c:formatCode>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2.5380710659898478E-4</c:v>
                </c:pt>
                <c:pt idx="33">
                  <c:v>5.7106598984771567E-4</c:v>
                </c:pt>
                <c:pt idx="34">
                  <c:v>5.7106598984771567E-4</c:v>
                </c:pt>
                <c:pt idx="35">
                  <c:v>5.7106598984771567E-4</c:v>
                </c:pt>
                <c:pt idx="36">
                  <c:v>5.7106598984771567E-4</c:v>
                </c:pt>
                <c:pt idx="37">
                  <c:v>5.7106598984771567E-4</c:v>
                </c:pt>
                <c:pt idx="38">
                  <c:v>5.7106598984771567E-4</c:v>
                </c:pt>
                <c:pt idx="39">
                  <c:v>5.7106598984771567E-4</c:v>
                </c:pt>
                <c:pt idx="40">
                  <c:v>5.7106598984771567E-4</c:v>
                </c:pt>
                <c:pt idx="41">
                  <c:v>5.7106598984771567E-4</c:v>
                </c:pt>
                <c:pt idx="42">
                  <c:v>9.5177664974619282E-4</c:v>
                </c:pt>
                <c:pt idx="43">
                  <c:v>1.7766497461928932E-3</c:v>
                </c:pt>
                <c:pt idx="44">
                  <c:v>2.7918781725888324E-3</c:v>
                </c:pt>
                <c:pt idx="45">
                  <c:v>5.8375634517766496E-3</c:v>
                </c:pt>
                <c:pt idx="46">
                  <c:v>8.6928934010152281E-3</c:v>
                </c:pt>
                <c:pt idx="47">
                  <c:v>1.3261421319796953E-2</c:v>
                </c:pt>
                <c:pt idx="48">
                  <c:v>3.3058375634517766E-2</c:v>
                </c:pt>
                <c:pt idx="49">
                  <c:v>6.0152284263959382E-2</c:v>
                </c:pt>
                <c:pt idx="50">
                  <c:v>0.10279187817258884</c:v>
                </c:pt>
                <c:pt idx="51">
                  <c:v>0.17208121827411166</c:v>
                </c:pt>
                <c:pt idx="52">
                  <c:v>0.24473350253807105</c:v>
                </c:pt>
                <c:pt idx="53">
                  <c:v>0.32087563451776652</c:v>
                </c:pt>
                <c:pt idx="54">
                  <c:v>0.37379441624365478</c:v>
                </c:pt>
                <c:pt idx="55">
                  <c:v>0.4034263959390863</c:v>
                </c:pt>
                <c:pt idx="56">
                  <c:v>0.43077411167512686</c:v>
                </c:pt>
                <c:pt idx="57">
                  <c:v>0.45558375634517762</c:v>
                </c:pt>
                <c:pt idx="58">
                  <c:v>0.47912436548223347</c:v>
                </c:pt>
                <c:pt idx="59">
                  <c:v>0.50133248730964464</c:v>
                </c:pt>
                <c:pt idx="60">
                  <c:v>0.51954314720812178</c:v>
                </c:pt>
                <c:pt idx="61">
                  <c:v>0.53711928934010156</c:v>
                </c:pt>
                <c:pt idx="62">
                  <c:v>0.55368020304568533</c:v>
                </c:pt>
                <c:pt idx="63">
                  <c:v>0.57157360406091373</c:v>
                </c:pt>
                <c:pt idx="64">
                  <c:v>0.58654822335025381</c:v>
                </c:pt>
                <c:pt idx="65">
                  <c:v>0.60279187817258872</c:v>
                </c:pt>
                <c:pt idx="66">
                  <c:v>0.6188451776649746</c:v>
                </c:pt>
                <c:pt idx="67">
                  <c:v>0.63324873096446699</c:v>
                </c:pt>
                <c:pt idx="68">
                  <c:v>0.64733502538071064</c:v>
                </c:pt>
                <c:pt idx="69">
                  <c:v>0.66078680203045692</c:v>
                </c:pt>
                <c:pt idx="70">
                  <c:v>0.67442893401015225</c:v>
                </c:pt>
                <c:pt idx="71">
                  <c:v>0.68870558375634505</c:v>
                </c:pt>
                <c:pt idx="72">
                  <c:v>0.70184010152284271</c:v>
                </c:pt>
                <c:pt idx="73">
                  <c:v>0.71395939086294413</c:v>
                </c:pt>
                <c:pt idx="74">
                  <c:v>0.72633248730964473</c:v>
                </c:pt>
                <c:pt idx="75">
                  <c:v>0.73851522842639583</c:v>
                </c:pt>
                <c:pt idx="76">
                  <c:v>0.75031725888324874</c:v>
                </c:pt>
                <c:pt idx="77">
                  <c:v>0.76161167512690342</c:v>
                </c:pt>
                <c:pt idx="78">
                  <c:v>0.77246192893401011</c:v>
                </c:pt>
                <c:pt idx="79">
                  <c:v>0.78350253807106585</c:v>
                </c:pt>
                <c:pt idx="80">
                  <c:v>0.79384517766497464</c:v>
                </c:pt>
                <c:pt idx="81">
                  <c:v>0.80368020304568522</c:v>
                </c:pt>
                <c:pt idx="82">
                  <c:v>0.81383248730964464</c:v>
                </c:pt>
                <c:pt idx="83">
                  <c:v>0.82360406091370553</c:v>
                </c:pt>
                <c:pt idx="84">
                  <c:v>0.83274111675126905</c:v>
                </c:pt>
                <c:pt idx="85">
                  <c:v>0.84232233502538056</c:v>
                </c:pt>
                <c:pt idx="86">
                  <c:v>0.85139593908629441</c:v>
                </c:pt>
                <c:pt idx="87">
                  <c:v>0.86040609137055835</c:v>
                </c:pt>
                <c:pt idx="88">
                  <c:v>0.86928934010152292</c:v>
                </c:pt>
                <c:pt idx="89">
                  <c:v>0.87823604060913707</c:v>
                </c:pt>
                <c:pt idx="90">
                  <c:v>0.886738578680203</c:v>
                </c:pt>
                <c:pt idx="91">
                  <c:v>0.89511421319796958</c:v>
                </c:pt>
                <c:pt idx="92">
                  <c:v>0.9031725888324873</c:v>
                </c:pt>
                <c:pt idx="93">
                  <c:v>0.9113578680203045</c:v>
                </c:pt>
                <c:pt idx="94">
                  <c:v>0.91897208121827401</c:v>
                </c:pt>
                <c:pt idx="95">
                  <c:v>0.92582487309644668</c:v>
                </c:pt>
                <c:pt idx="96">
                  <c:v>0.93305837563451766</c:v>
                </c:pt>
                <c:pt idx="97">
                  <c:v>0.93959390862944148</c:v>
                </c:pt>
                <c:pt idx="98">
                  <c:v>0.94574873096446688</c:v>
                </c:pt>
                <c:pt idx="99">
                  <c:v>0.95152284263959386</c:v>
                </c:pt>
                <c:pt idx="100">
                  <c:v>0.95691624365482231</c:v>
                </c:pt>
                <c:pt idx="101">
                  <c:v>0.96224619289340096</c:v>
                </c:pt>
                <c:pt idx="102">
                  <c:v>0.96751269035532983</c:v>
                </c:pt>
                <c:pt idx="103">
                  <c:v>0.97201776649746197</c:v>
                </c:pt>
                <c:pt idx="104">
                  <c:v>0.97601522842639588</c:v>
                </c:pt>
                <c:pt idx="105">
                  <c:v>0.97963197969543148</c:v>
                </c:pt>
                <c:pt idx="106">
                  <c:v>0.98280456852791875</c:v>
                </c:pt>
                <c:pt idx="107">
                  <c:v>0.98578680203045688</c:v>
                </c:pt>
                <c:pt idx="108">
                  <c:v>0.98851522842639594</c:v>
                </c:pt>
                <c:pt idx="109">
                  <c:v>0.99105329949238574</c:v>
                </c:pt>
                <c:pt idx="110">
                  <c:v>0.99314720812182733</c:v>
                </c:pt>
                <c:pt idx="111">
                  <c:v>0.99498730964467008</c:v>
                </c:pt>
                <c:pt idx="112">
                  <c:v>0.99708121827411156</c:v>
                </c:pt>
                <c:pt idx="113">
                  <c:v>0.99708121827411156</c:v>
                </c:pt>
                <c:pt idx="114">
                  <c:v>0.99841370558375619</c:v>
                </c:pt>
                <c:pt idx="115">
                  <c:v>0.99923857868020294</c:v>
                </c:pt>
                <c:pt idx="116">
                  <c:v>0.99961928934010147</c:v>
                </c:pt>
                <c:pt idx="117">
                  <c:v>0.99961928934010147</c:v>
                </c:pt>
                <c:pt idx="118">
                  <c:v>1</c:v>
                </c:pt>
              </c:numCache>
            </c:numRef>
          </c:xVal>
          <c:yVal>
            <c:numRef>
              <c:f>Table!$A$18:$A$136</c:f>
              <c:numCache>
                <c:formatCode>????0.00</c:formatCode>
                <c:ptCount val="119"/>
                <c:pt idx="0">
                  <c:v>1.5079505443572998</c:v>
                </c:pt>
                <c:pt idx="1">
                  <c:v>1.5989933013916016</c:v>
                </c:pt>
                <c:pt idx="2">
                  <c:v>1.8068345785140991</c:v>
                </c:pt>
                <c:pt idx="3">
                  <c:v>2.0094594955444336</c:v>
                </c:pt>
                <c:pt idx="4">
                  <c:v>2.1648108959197998</c:v>
                </c:pt>
                <c:pt idx="5">
                  <c:v>2.3579812049865723</c:v>
                </c:pt>
                <c:pt idx="6">
                  <c:v>2.5763368606567383</c:v>
                </c:pt>
                <c:pt idx="7">
                  <c:v>2.8118090629577637</c:v>
                </c:pt>
                <c:pt idx="8">
                  <c:v>3.0808615684509277</c:v>
                </c:pt>
                <c:pt idx="9">
                  <c:v>3.3865108489990234</c:v>
                </c:pt>
                <c:pt idx="10">
                  <c:v>3.6919970512390137</c:v>
                </c:pt>
                <c:pt idx="11">
                  <c:v>4.0388069152832031</c:v>
                </c:pt>
                <c:pt idx="12">
                  <c:v>4.4196047782897949</c:v>
                </c:pt>
                <c:pt idx="13">
                  <c:v>4.8204536437988281</c:v>
                </c:pt>
                <c:pt idx="14">
                  <c:v>5.2622184753417969</c:v>
                </c:pt>
                <c:pt idx="15">
                  <c:v>5.763972282409668</c:v>
                </c:pt>
                <c:pt idx="16">
                  <c:v>6.3053379058837891</c:v>
                </c:pt>
                <c:pt idx="17">
                  <c:v>6.8938956260681152</c:v>
                </c:pt>
                <c:pt idx="18">
                  <c:v>7.542360782623291</c:v>
                </c:pt>
                <c:pt idx="19">
                  <c:v>8.2497549057006836</c:v>
                </c:pt>
                <c:pt idx="20">
                  <c:v>9.0262670516967773</c:v>
                </c:pt>
                <c:pt idx="21">
                  <c:v>9.8776836395263672</c:v>
                </c:pt>
                <c:pt idx="22">
                  <c:v>10.782322883605957</c:v>
                </c:pt>
                <c:pt idx="23">
                  <c:v>11.883312225341797</c:v>
                </c:pt>
                <c:pt idx="24">
                  <c:v>12.884048461914062</c:v>
                </c:pt>
                <c:pt idx="25">
                  <c:v>14.184564590454102</c:v>
                </c:pt>
                <c:pt idx="26">
                  <c:v>15.478479385375977</c:v>
                </c:pt>
                <c:pt idx="27">
                  <c:v>16.87272834777832</c:v>
                </c:pt>
                <c:pt idx="28">
                  <c:v>18.472209930419922</c:v>
                </c:pt>
                <c:pt idx="29">
                  <c:v>20.266654968261719</c:v>
                </c:pt>
                <c:pt idx="30">
                  <c:v>22.155405044555664</c:v>
                </c:pt>
                <c:pt idx="31">
                  <c:v>24.306196212768555</c:v>
                </c:pt>
                <c:pt idx="32">
                  <c:v>26.600929260253906</c:v>
                </c:pt>
                <c:pt idx="33">
                  <c:v>28.999906539916992</c:v>
                </c:pt>
                <c:pt idx="34">
                  <c:v>32.726486206054687</c:v>
                </c:pt>
                <c:pt idx="35">
                  <c:v>34.611701965332031</c:v>
                </c:pt>
                <c:pt idx="36">
                  <c:v>36.369148254394531</c:v>
                </c:pt>
                <c:pt idx="37">
                  <c:v>40.818695068359375</c:v>
                </c:pt>
                <c:pt idx="38">
                  <c:v>47.708099365234375</c:v>
                </c:pt>
                <c:pt idx="39">
                  <c:v>52.035938262939453</c:v>
                </c:pt>
                <c:pt idx="40">
                  <c:v>55.142673492431641</c:v>
                </c:pt>
                <c:pt idx="41">
                  <c:v>58.945449829101563</c:v>
                </c:pt>
                <c:pt idx="42">
                  <c:v>65.416816711425781</c:v>
                </c:pt>
                <c:pt idx="43">
                  <c:v>72.498161315917969</c:v>
                </c:pt>
                <c:pt idx="44">
                  <c:v>78.024925231933594</c:v>
                </c:pt>
                <c:pt idx="45">
                  <c:v>87.026710510253906</c:v>
                </c:pt>
                <c:pt idx="46">
                  <c:v>93.615623474121094</c:v>
                </c:pt>
                <c:pt idx="47">
                  <c:v>101.14696502685547</c:v>
                </c:pt>
                <c:pt idx="48">
                  <c:v>112.00489807128906</c:v>
                </c:pt>
                <c:pt idx="49">
                  <c:v>121.45084381103516</c:v>
                </c:pt>
                <c:pt idx="50">
                  <c:v>132.34272766113281</c:v>
                </c:pt>
                <c:pt idx="51">
                  <c:v>146.10365295410156</c:v>
                </c:pt>
                <c:pt idx="52">
                  <c:v>159.38531494140625</c:v>
                </c:pt>
                <c:pt idx="53">
                  <c:v>173.61466979980469</c:v>
                </c:pt>
                <c:pt idx="54">
                  <c:v>190.53811645507812</c:v>
                </c:pt>
                <c:pt idx="55">
                  <c:v>207.46356201171875</c:v>
                </c:pt>
                <c:pt idx="56">
                  <c:v>227.41241455078125</c:v>
                </c:pt>
                <c:pt idx="57">
                  <c:v>249.58480834960937</c:v>
                </c:pt>
                <c:pt idx="58">
                  <c:v>272.56744384765625</c:v>
                </c:pt>
                <c:pt idx="59">
                  <c:v>298.39706420898437</c:v>
                </c:pt>
                <c:pt idx="60">
                  <c:v>326.55191040039062</c:v>
                </c:pt>
                <c:pt idx="61">
                  <c:v>356.93722534179687</c:v>
                </c:pt>
                <c:pt idx="62">
                  <c:v>391.13479614257812</c:v>
                </c:pt>
                <c:pt idx="63">
                  <c:v>428.96145629882813</c:v>
                </c:pt>
                <c:pt idx="64">
                  <c:v>468.58456420898437</c:v>
                </c:pt>
                <c:pt idx="65">
                  <c:v>512.81219482421875</c:v>
                </c:pt>
                <c:pt idx="66">
                  <c:v>561.6986083984375</c:v>
                </c:pt>
                <c:pt idx="67">
                  <c:v>613.18511962890625</c:v>
                </c:pt>
                <c:pt idx="68">
                  <c:v>671.98736572265625</c:v>
                </c:pt>
                <c:pt idx="69">
                  <c:v>735.31646728515625</c:v>
                </c:pt>
                <c:pt idx="70">
                  <c:v>805.49017333984375</c:v>
                </c:pt>
                <c:pt idx="71">
                  <c:v>882.44622802734375</c:v>
                </c:pt>
                <c:pt idx="72">
                  <c:v>963.67718505859375</c:v>
                </c:pt>
                <c:pt idx="73">
                  <c:v>1049.6611328125</c:v>
                </c:pt>
                <c:pt idx="74">
                  <c:v>1148.0169677734375</c:v>
                </c:pt>
                <c:pt idx="75">
                  <c:v>1258.0850830078125</c:v>
                </c:pt>
                <c:pt idx="76">
                  <c:v>1377.8966064453125</c:v>
                </c:pt>
                <c:pt idx="77">
                  <c:v>1509.191650390625</c:v>
                </c:pt>
                <c:pt idx="78">
                  <c:v>1648.0450439453125</c:v>
                </c:pt>
                <c:pt idx="79">
                  <c:v>1810.51611328125</c:v>
                </c:pt>
                <c:pt idx="80">
                  <c:v>1978.1549072265625</c:v>
                </c:pt>
                <c:pt idx="81">
                  <c:v>2158.113525390625</c:v>
                </c:pt>
                <c:pt idx="82">
                  <c:v>2367.482177734375</c:v>
                </c:pt>
                <c:pt idx="83">
                  <c:v>2587.98974609375</c:v>
                </c:pt>
                <c:pt idx="84">
                  <c:v>2828.620361328125</c:v>
                </c:pt>
                <c:pt idx="85">
                  <c:v>3097.880859375</c:v>
                </c:pt>
                <c:pt idx="86">
                  <c:v>3388.56689453125</c:v>
                </c:pt>
                <c:pt idx="87">
                  <c:v>3707.705810546875</c:v>
                </c:pt>
                <c:pt idx="88">
                  <c:v>4058.08740234375</c:v>
                </c:pt>
                <c:pt idx="89">
                  <c:v>4436.46484375</c:v>
                </c:pt>
                <c:pt idx="90">
                  <c:v>4846.52734375</c:v>
                </c:pt>
                <c:pt idx="91">
                  <c:v>5306.3515625</c:v>
                </c:pt>
                <c:pt idx="92">
                  <c:v>5806.3779296875</c:v>
                </c:pt>
                <c:pt idx="93">
                  <c:v>6356.22265625</c:v>
                </c:pt>
                <c:pt idx="94">
                  <c:v>6946.83740234375</c:v>
                </c:pt>
                <c:pt idx="95">
                  <c:v>7605.79052734375</c:v>
                </c:pt>
                <c:pt idx="96">
                  <c:v>8316.5625</c:v>
                </c:pt>
                <c:pt idx="97">
                  <c:v>9095.9248046875</c:v>
                </c:pt>
                <c:pt idx="98">
                  <c:v>9956.8349609375</c:v>
                </c:pt>
                <c:pt idx="99">
                  <c:v>10895.72265625</c:v>
                </c:pt>
                <c:pt idx="100">
                  <c:v>11896.193359375</c:v>
                </c:pt>
                <c:pt idx="101">
                  <c:v>12996.3203125</c:v>
                </c:pt>
                <c:pt idx="102">
                  <c:v>14295.740234375</c:v>
                </c:pt>
                <c:pt idx="103">
                  <c:v>15595.3330078125</c:v>
                </c:pt>
                <c:pt idx="104">
                  <c:v>17095.1953125</c:v>
                </c:pt>
                <c:pt idx="105">
                  <c:v>18694.45703125</c:v>
                </c:pt>
                <c:pt idx="106">
                  <c:v>20392.5</c:v>
                </c:pt>
                <c:pt idx="107">
                  <c:v>22294.265625</c:v>
                </c:pt>
                <c:pt idx="108">
                  <c:v>24394.923828125</c:v>
                </c:pt>
                <c:pt idx="109">
                  <c:v>26695.9296875</c:v>
                </c:pt>
                <c:pt idx="110">
                  <c:v>29295.2578125</c:v>
                </c:pt>
                <c:pt idx="111">
                  <c:v>31990.033203125</c:v>
                </c:pt>
                <c:pt idx="112">
                  <c:v>34986.54296875</c:v>
                </c:pt>
                <c:pt idx="113">
                  <c:v>38281.640625</c:v>
                </c:pt>
                <c:pt idx="114">
                  <c:v>41878.12109375</c:v>
                </c:pt>
                <c:pt idx="115">
                  <c:v>45775.00390625</c:v>
                </c:pt>
                <c:pt idx="116">
                  <c:v>50072.80078125</c:v>
                </c:pt>
                <c:pt idx="117">
                  <c:v>54763.6796875</c:v>
                </c:pt>
                <c:pt idx="118">
                  <c:v>59436.1875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3001600"/>
        <c:axId val="226735616"/>
      </c:scatterChart>
      <c:valAx>
        <c:axId val="223001600"/>
        <c:scaling>
          <c:orientation val="maxMin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/>
                  <a:t>Mercury Saturation, fraction pore space</a:t>
                </a:r>
              </a:p>
            </c:rich>
          </c:tx>
          <c:layout>
            <c:manualLayout>
              <c:xMode val="edge"/>
              <c:yMode val="edge"/>
              <c:x val="0.28169014084507044"/>
              <c:y val="0.9364548494983278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/>
            </a:pPr>
            <a:endParaRPr lang="en-US"/>
          </a:p>
        </c:txPr>
        <c:crossAx val="226735616"/>
        <c:crossesAt val="1.0000000000000041E-3"/>
        <c:crossBetween val="midCat"/>
        <c:majorUnit val="0.2"/>
        <c:minorUnit val="0.1"/>
      </c:valAx>
      <c:valAx>
        <c:axId val="226735616"/>
        <c:scaling>
          <c:logBase val="10"/>
          <c:orientation val="minMax"/>
          <c:max val="100000"/>
          <c:min val="0.1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/>
                  <a:t>Injection Pressure, psi.</a:t>
                </a:r>
              </a:p>
            </c:rich>
          </c:tx>
          <c:layout>
            <c:manualLayout>
              <c:xMode val="edge"/>
              <c:yMode val="edge"/>
              <c:x val="1.7605633802816906E-2"/>
              <c:y val="0.3377926421404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/>
            </a:pPr>
            <a:endParaRPr lang="en-US"/>
          </a:p>
        </c:txPr>
        <c:crossAx val="223001600"/>
        <c:crosses val="max"/>
        <c:crossBetween val="midCat"/>
        <c:majorUnit val="10"/>
        <c:minorUnit val="10"/>
      </c:valAx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3175">
      <a:solidFill>
        <a:schemeClr val="dk1"/>
      </a:solidFill>
    </a:ln>
  </c:spPr>
  <c:txPr>
    <a:bodyPr/>
    <a:lstStyle/>
    <a:p>
      <a:pPr>
        <a:defRPr sz="575"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1" l="0.75000000000000921" r="0.75000000000000921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4041119369915644"/>
          <c:y val="5.3511705685618735E-2"/>
          <c:w val="0.71747821581027194"/>
          <c:h val="0.81040704360115523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660066"/>
              </a:solidFill>
            </a:ln>
          </c:spPr>
          <c:marker>
            <c:symbol val="circle"/>
            <c:size val="5"/>
            <c:spPr>
              <a:solidFill>
                <a:srgbClr val="660066"/>
              </a:solidFill>
              <a:ln>
                <a:solidFill>
                  <a:srgbClr val="660066"/>
                </a:solidFill>
              </a:ln>
            </c:spPr>
          </c:marker>
          <c:xVal>
            <c:numRef>
              <c:f>Table!$C$18:$C$136</c:f>
              <c:numCache>
                <c:formatCode>0.000</c:formatCode>
                <c:ptCount val="1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0.99974619289340105</c:v>
                </c:pt>
                <c:pt idx="33">
                  <c:v>0.99942893401015231</c:v>
                </c:pt>
                <c:pt idx="34">
                  <c:v>0.99942893401015231</c:v>
                </c:pt>
                <c:pt idx="35">
                  <c:v>0.99942893401015231</c:v>
                </c:pt>
                <c:pt idx="36">
                  <c:v>0.99942893401015231</c:v>
                </c:pt>
                <c:pt idx="37">
                  <c:v>0.99942893401015231</c:v>
                </c:pt>
                <c:pt idx="38">
                  <c:v>0.99942893401015231</c:v>
                </c:pt>
                <c:pt idx="39">
                  <c:v>0.99942893401015231</c:v>
                </c:pt>
                <c:pt idx="40">
                  <c:v>0.99942893401015231</c:v>
                </c:pt>
                <c:pt idx="41">
                  <c:v>0.99942893401015231</c:v>
                </c:pt>
                <c:pt idx="42">
                  <c:v>0.99904822335025378</c:v>
                </c:pt>
                <c:pt idx="43">
                  <c:v>0.99822335025380715</c:v>
                </c:pt>
                <c:pt idx="44">
                  <c:v>0.99720812182741114</c:v>
                </c:pt>
                <c:pt idx="45">
                  <c:v>0.99416243654822334</c:v>
                </c:pt>
                <c:pt idx="46">
                  <c:v>0.9913071065989848</c:v>
                </c:pt>
                <c:pt idx="47">
                  <c:v>0.98673857868020309</c:v>
                </c:pt>
                <c:pt idx="48">
                  <c:v>0.96694162436548226</c:v>
                </c:pt>
                <c:pt idx="49">
                  <c:v>0.93984771573604065</c:v>
                </c:pt>
                <c:pt idx="50">
                  <c:v>0.89720812182741116</c:v>
                </c:pt>
                <c:pt idx="51">
                  <c:v>0.8279187817258884</c:v>
                </c:pt>
                <c:pt idx="52">
                  <c:v>0.75526649746192898</c:v>
                </c:pt>
                <c:pt idx="53">
                  <c:v>0.67912436548223343</c:v>
                </c:pt>
                <c:pt idx="54">
                  <c:v>0.62620558375634516</c:v>
                </c:pt>
                <c:pt idx="55">
                  <c:v>0.59657360406091375</c:v>
                </c:pt>
                <c:pt idx="56">
                  <c:v>0.56922588832487309</c:v>
                </c:pt>
                <c:pt idx="57">
                  <c:v>0.54441624365482233</c:v>
                </c:pt>
                <c:pt idx="58">
                  <c:v>0.52087563451776653</c:v>
                </c:pt>
                <c:pt idx="59">
                  <c:v>0.49866751269035536</c:v>
                </c:pt>
                <c:pt idx="60">
                  <c:v>0.48045685279187822</c:v>
                </c:pt>
                <c:pt idx="61">
                  <c:v>0.46288071065989844</c:v>
                </c:pt>
                <c:pt idx="62">
                  <c:v>0.44631979695431467</c:v>
                </c:pt>
                <c:pt idx="63">
                  <c:v>0.42842639593908627</c:v>
                </c:pt>
                <c:pt idx="64">
                  <c:v>0.41345177664974619</c:v>
                </c:pt>
                <c:pt idx="65">
                  <c:v>0.39720812182741128</c:v>
                </c:pt>
                <c:pt idx="66">
                  <c:v>0.3811548223350254</c:v>
                </c:pt>
                <c:pt idx="67">
                  <c:v>0.36675126903553301</c:v>
                </c:pt>
                <c:pt idx="68">
                  <c:v>0.35266497461928936</c:v>
                </c:pt>
                <c:pt idx="69">
                  <c:v>0.33921319796954308</c:v>
                </c:pt>
                <c:pt idx="70">
                  <c:v>0.32557106598984775</c:v>
                </c:pt>
                <c:pt idx="71">
                  <c:v>0.31129441624365495</c:v>
                </c:pt>
                <c:pt idx="72">
                  <c:v>0.29815989847715729</c:v>
                </c:pt>
                <c:pt idx="73">
                  <c:v>0.28604060913705587</c:v>
                </c:pt>
                <c:pt idx="74">
                  <c:v>0.27366751269035527</c:v>
                </c:pt>
                <c:pt idx="75">
                  <c:v>0.26148477157360417</c:v>
                </c:pt>
                <c:pt idx="76">
                  <c:v>0.24968274111675126</c:v>
                </c:pt>
                <c:pt idx="77">
                  <c:v>0.23838832487309658</c:v>
                </c:pt>
                <c:pt idx="78">
                  <c:v>0.22753807106598989</c:v>
                </c:pt>
                <c:pt idx="79">
                  <c:v>0.21649746192893415</c:v>
                </c:pt>
                <c:pt idx="80">
                  <c:v>0.20615482233502536</c:v>
                </c:pt>
                <c:pt idx="81">
                  <c:v>0.19631979695431478</c:v>
                </c:pt>
                <c:pt idx="82">
                  <c:v>0.18616751269035536</c:v>
                </c:pt>
                <c:pt idx="83">
                  <c:v>0.17639593908629447</c:v>
                </c:pt>
                <c:pt idx="84">
                  <c:v>0.16725888324873095</c:v>
                </c:pt>
                <c:pt idx="85">
                  <c:v>0.15767766497461944</c:v>
                </c:pt>
                <c:pt idx="86">
                  <c:v>0.14860406091370559</c:v>
                </c:pt>
                <c:pt idx="87">
                  <c:v>0.13959390862944165</c:v>
                </c:pt>
                <c:pt idx="88">
                  <c:v>0.13071065989847708</c:v>
                </c:pt>
                <c:pt idx="89">
                  <c:v>0.12176395939086293</c:v>
                </c:pt>
                <c:pt idx="90">
                  <c:v>0.113261421319797</c:v>
                </c:pt>
                <c:pt idx="91">
                  <c:v>0.10488578680203042</c:v>
                </c:pt>
                <c:pt idx="92">
                  <c:v>9.68274111675127E-2</c:v>
                </c:pt>
                <c:pt idx="93">
                  <c:v>8.8642131979695504E-2</c:v>
                </c:pt>
                <c:pt idx="94">
                  <c:v>8.1027918781725994E-2</c:v>
                </c:pt>
                <c:pt idx="95">
                  <c:v>7.4175126903553323E-2</c:v>
                </c:pt>
                <c:pt idx="96">
                  <c:v>6.6941624365482344E-2</c:v>
                </c:pt>
                <c:pt idx="97">
                  <c:v>6.0406091370558523E-2</c:v>
                </c:pt>
                <c:pt idx="98">
                  <c:v>5.4251269035533123E-2</c:v>
                </c:pt>
                <c:pt idx="99">
                  <c:v>4.8477157360406142E-2</c:v>
                </c:pt>
                <c:pt idx="100">
                  <c:v>4.3083756345177693E-2</c:v>
                </c:pt>
                <c:pt idx="101">
                  <c:v>3.7753807106599035E-2</c:v>
                </c:pt>
                <c:pt idx="102">
                  <c:v>3.248730964467017E-2</c:v>
                </c:pt>
                <c:pt idx="103">
                  <c:v>2.7982233502538034E-2</c:v>
                </c:pt>
                <c:pt idx="104">
                  <c:v>2.3984771573604124E-2</c:v>
                </c:pt>
                <c:pt idx="105">
                  <c:v>2.0368020304568524E-2</c:v>
                </c:pt>
                <c:pt idx="106">
                  <c:v>1.7195431472081246E-2</c:v>
                </c:pt>
                <c:pt idx="107">
                  <c:v>1.4213197969543123E-2</c:v>
                </c:pt>
                <c:pt idx="108">
                  <c:v>1.1484771573604058E-2</c:v>
                </c:pt>
                <c:pt idx="109">
                  <c:v>8.9467005076142581E-3</c:v>
                </c:pt>
                <c:pt idx="110">
                  <c:v>6.8527918781726704E-3</c:v>
                </c:pt>
                <c:pt idx="111">
                  <c:v>5.0126903553299185E-3</c:v>
                </c:pt>
                <c:pt idx="112">
                  <c:v>2.9187817258884419E-3</c:v>
                </c:pt>
                <c:pt idx="113">
                  <c:v>2.9187817258884419E-3</c:v>
                </c:pt>
                <c:pt idx="114">
                  <c:v>1.5862944162438053E-3</c:v>
                </c:pt>
                <c:pt idx="115">
                  <c:v>7.6142131979706207E-4</c:v>
                </c:pt>
                <c:pt idx="116">
                  <c:v>3.8071065989853103E-4</c:v>
                </c:pt>
                <c:pt idx="117">
                  <c:v>3.8071065989853103E-4</c:v>
                </c:pt>
                <c:pt idx="118">
                  <c:v>0</c:v>
                </c:pt>
              </c:numCache>
            </c:numRef>
          </c:xVal>
          <c:yVal>
            <c:numRef>
              <c:f>Table!$L$18:$L$136</c:f>
              <c:numCache>
                <c:formatCode>????0.00</c:formatCode>
                <c:ptCount val="119"/>
                <c:pt idx="0">
                  <c:v>0.33859138435229819</c:v>
                </c:pt>
                <c:pt idx="1">
                  <c:v>0.35903389372692268</c:v>
                </c:pt>
                <c:pt idx="2">
                  <c:v>0.40570204608098392</c:v>
                </c:pt>
                <c:pt idx="3">
                  <c:v>0.4511989301918693</c:v>
                </c:pt>
                <c:pt idx="4">
                  <c:v>0.48608113896920169</c:v>
                </c:pt>
                <c:pt idx="5">
                  <c:v>0.5294551094269373</c:v>
                </c:pt>
                <c:pt idx="6">
                  <c:v>0.57848413362880602</c:v>
                </c:pt>
                <c:pt idx="7">
                  <c:v>0.63135646372738341</c:v>
                </c:pt>
                <c:pt idx="8">
                  <c:v>0.691768829795537</c:v>
                </c:pt>
                <c:pt idx="9">
                  <c:v>0.76039854276213303</c:v>
                </c:pt>
                <c:pt idx="10">
                  <c:v>0.82899163853971991</c:v>
                </c:pt>
                <c:pt idx="11">
                  <c:v>0.90686344435799537</c:v>
                </c:pt>
                <c:pt idx="12">
                  <c:v>0.99236682911837004</c:v>
                </c:pt>
                <c:pt idx="13">
                  <c:v>1.0823724150420109</c:v>
                </c:pt>
                <c:pt idx="14">
                  <c:v>1.1815651680338173</c:v>
                </c:pt>
                <c:pt idx="15">
                  <c:v>1.2942276931908041</c:v>
                </c:pt>
                <c:pt idx="16">
                  <c:v>1.4157845549716872</c:v>
                </c:pt>
                <c:pt idx="17">
                  <c:v>1.5479378102585697</c:v>
                </c:pt>
                <c:pt idx="18">
                  <c:v>1.6935425291161279</c:v>
                </c:pt>
                <c:pt idx="19">
                  <c:v>1.8523790084103071</c:v>
                </c:pt>
                <c:pt idx="20">
                  <c:v>2.0267350729795535</c:v>
                </c:pt>
                <c:pt idx="21">
                  <c:v>2.2179099906268687</c:v>
                </c:pt>
                <c:pt idx="22">
                  <c:v>2.4210353882988946</c:v>
                </c:pt>
                <c:pt idx="23">
                  <c:v>2.6682487380804338</c:v>
                </c:pt>
                <c:pt idx="24">
                  <c:v>2.8929515103168595</c:v>
                </c:pt>
                <c:pt idx="25">
                  <c:v>3.1849660979189625</c:v>
                </c:pt>
                <c:pt idx="26">
                  <c:v>3.475498438840821</c:v>
                </c:pt>
                <c:pt idx="27">
                  <c:v>3.788559558834494</c:v>
                </c:pt>
                <c:pt idx="28">
                  <c:v>4.1477030899928362</c:v>
                </c:pt>
                <c:pt idx="29">
                  <c:v>4.550623220086309</c:v>
                </c:pt>
                <c:pt idx="30">
                  <c:v>4.9747183639362964</c:v>
                </c:pt>
                <c:pt idx="31">
                  <c:v>5.4576515488626498</c:v>
                </c:pt>
                <c:pt idx="32">
                  <c:v>5.9729050776832429</c:v>
                </c:pt>
                <c:pt idx="33">
                  <c:v>6.5115653415694377</c:v>
                </c:pt>
                <c:pt idx="34">
                  <c:v>7.3483220726029952</c:v>
                </c:pt>
                <c:pt idx="35">
                  <c:v>7.7716236298888415</c:v>
                </c:pt>
                <c:pt idx="36">
                  <c:v>8.1662361549249987</c:v>
                </c:pt>
                <c:pt idx="37">
                  <c:v>9.165326092667506</c:v>
                </c:pt>
                <c:pt idx="38">
                  <c:v>10.712255431279065</c:v>
                </c:pt>
                <c:pt idx="39">
                  <c:v>11.684017382697862</c:v>
                </c:pt>
                <c:pt idx="40">
                  <c:v>12.38159581861278</c:v>
                </c:pt>
                <c:pt idx="41">
                  <c:v>13.235461556473572</c:v>
                </c:pt>
                <c:pt idx="42">
                  <c:v>14.68852583602636</c:v>
                </c:pt>
                <c:pt idx="43">
                  <c:v>16.278552963694924</c:v>
                </c:pt>
                <c:pt idx="44">
                  <c:v>17.519518492912351</c:v>
                </c:pt>
                <c:pt idx="45">
                  <c:v>19.54075649069275</c:v>
                </c:pt>
                <c:pt idx="46">
                  <c:v>21.020214268774883</c:v>
                </c:pt>
                <c:pt idx="47">
                  <c:v>22.71128256800559</c:v>
                </c:pt>
                <c:pt idx="48">
                  <c:v>25.149295269732654</c:v>
                </c:pt>
                <c:pt idx="49">
                  <c:v>27.270263929152762</c:v>
                </c:pt>
                <c:pt idx="50">
                  <c:v>29.715899858533202</c:v>
                </c:pt>
                <c:pt idx="51">
                  <c:v>32.805743064830587</c:v>
                </c:pt>
                <c:pt idx="52">
                  <c:v>35.787973706020125</c:v>
                </c:pt>
                <c:pt idx="53">
                  <c:v>38.982996896915736</c:v>
                </c:pt>
                <c:pt idx="54">
                  <c:v>42.782944615667695</c:v>
                </c:pt>
                <c:pt idx="55">
                  <c:v>46.583341162654534</c:v>
                </c:pt>
                <c:pt idx="56">
                  <c:v>51.062605832650632</c:v>
                </c:pt>
                <c:pt idx="57">
                  <c:v>56.041138808312127</c:v>
                </c:pt>
                <c:pt idx="58">
                  <c:v>61.201601396735143</c:v>
                </c:pt>
                <c:pt idx="59">
                  <c:v>67.0013187337277</c:v>
                </c:pt>
                <c:pt idx="60">
                  <c:v>73.323136371478753</c:v>
                </c:pt>
                <c:pt idx="61">
                  <c:v>80.145777795953464</c:v>
                </c:pt>
                <c:pt idx="62">
                  <c:v>87.824413466234887</c:v>
                </c:pt>
                <c:pt idx="63">
                  <c:v>96.317915640861841</c:v>
                </c:pt>
                <c:pt idx="64">
                  <c:v>105.21478763035955</c:v>
                </c:pt>
                <c:pt idx="65">
                  <c:v>115.14554745048137</c:v>
                </c:pt>
                <c:pt idx="66">
                  <c:v>126.12237856079376</c:v>
                </c:pt>
                <c:pt idx="67">
                  <c:v>137.68302899341427</c:v>
                </c:pt>
                <c:pt idx="68">
                  <c:v>150.8863359469544</c:v>
                </c:pt>
                <c:pt idx="69">
                  <c:v>165.10609152718345</c:v>
                </c:pt>
                <c:pt idx="70">
                  <c:v>180.86271721169135</c:v>
                </c:pt>
                <c:pt idx="71">
                  <c:v>198.1422342279721</c:v>
                </c:pt>
                <c:pt idx="72">
                  <c:v>216.38162695632943</c:v>
                </c:pt>
                <c:pt idx="73">
                  <c:v>235.68824414680179</c:v>
                </c:pt>
                <c:pt idx="74">
                  <c:v>257.77281346054127</c:v>
                </c:pt>
                <c:pt idx="75">
                  <c:v>282.48722843237931</c:v>
                </c:pt>
                <c:pt idx="76">
                  <c:v>309.38940352947503</c:v>
                </c:pt>
                <c:pt idx="77">
                  <c:v>338.87005914804934</c:v>
                </c:pt>
                <c:pt idx="78">
                  <c:v>370.04784738627973</c:v>
                </c:pt>
                <c:pt idx="79">
                  <c:v>406.52868854483347</c:v>
                </c:pt>
                <c:pt idx="80">
                  <c:v>444.16987745881409</c:v>
                </c:pt>
                <c:pt idx="81">
                  <c:v>484.57732840493674</c:v>
                </c:pt>
                <c:pt idx="82">
                  <c:v>531.58843371095281</c:v>
                </c:pt>
                <c:pt idx="83">
                  <c:v>581.10064292122331</c:v>
                </c:pt>
                <c:pt idx="84">
                  <c:v>635.13122995514868</c:v>
                </c:pt>
                <c:pt idx="85">
                  <c:v>695.59029814291728</c:v>
                </c:pt>
                <c:pt idx="86">
                  <c:v>760.86020200265193</c:v>
                </c:pt>
                <c:pt idx="87">
                  <c:v>832.51884344734026</c:v>
                </c:pt>
                <c:pt idx="88">
                  <c:v>911.1926359413967</c:v>
                </c:pt>
                <c:pt idx="89">
                  <c:v>996.1525453845984</c:v>
                </c:pt>
                <c:pt idx="90">
                  <c:v>1088.2269373900342</c:v>
                </c:pt>
                <c:pt idx="91">
                  <c:v>1191.4746993062804</c:v>
                </c:pt>
                <c:pt idx="92">
                  <c:v>1303.749349501009</c:v>
                </c:pt>
                <c:pt idx="93">
                  <c:v>1427.2100875485926</c:v>
                </c:pt>
                <c:pt idx="94">
                  <c:v>1559.8252222073991</c:v>
                </c:pt>
                <c:pt idx="95">
                  <c:v>1707.784882855366</c:v>
                </c:pt>
                <c:pt idx="96">
                  <c:v>1867.3798159127132</c:v>
                </c:pt>
                <c:pt idx="97">
                  <c:v>2042.375847873833</c:v>
                </c:pt>
                <c:pt idx="98">
                  <c:v>2235.6824272563017</c:v>
                </c:pt>
                <c:pt idx="99">
                  <c:v>2446.4978851615801</c:v>
                </c:pt>
                <c:pt idx="100">
                  <c:v>2671.1410351923319</c:v>
                </c:pt>
                <c:pt idx="101">
                  <c:v>2918.160746426051</c:v>
                </c:pt>
                <c:pt idx="102">
                  <c:v>3209.9291945684477</c:v>
                </c:pt>
                <c:pt idx="103">
                  <c:v>3501.7364543615663</c:v>
                </c:pt>
                <c:pt idx="104">
                  <c:v>3838.5117259262015</c:v>
                </c:pt>
                <c:pt idx="105">
                  <c:v>4197.6058894048774</c:v>
                </c:pt>
                <c:pt idx="106">
                  <c:v>4578.8801438094169</c:v>
                </c:pt>
                <c:pt idx="107">
                  <c:v>5005.8977659004704</c:v>
                </c:pt>
                <c:pt idx="108">
                  <c:v>5477.5742222064373</c:v>
                </c:pt>
                <c:pt idx="109">
                  <c:v>5994.2362322729477</c:v>
                </c:pt>
                <c:pt idx="110">
                  <c:v>6577.8827659891595</c:v>
                </c:pt>
                <c:pt idx="111">
                  <c:v>7182.9607862495041</c:v>
                </c:pt>
                <c:pt idx="112">
                  <c:v>7855.7894765303099</c:v>
                </c:pt>
                <c:pt idx="113">
                  <c:v>8595.6623332235085</c:v>
                </c:pt>
                <c:pt idx="114">
                  <c:v>9403.2069209865476</c:v>
                </c:pt>
                <c:pt idx="115">
                  <c:v>10278.203087857135</c:v>
                </c:pt>
                <c:pt idx="116">
                  <c:v>11243.219479818084</c:v>
                </c:pt>
                <c:pt idx="117">
                  <c:v>12296.49751246943</c:v>
                </c:pt>
                <c:pt idx="118">
                  <c:v>13345.650546401052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6790400"/>
        <c:axId val="226808960"/>
      </c:scatterChart>
      <c:scatterChart>
        <c:scatterStyle val="lineMarker"/>
        <c:varyColors val="0"/>
        <c:ser>
          <c:idx val="1"/>
          <c:order val="1"/>
          <c:spPr>
            <a:ln>
              <a:noFill/>
            </a:ln>
          </c:spPr>
          <c:marker>
            <c:symbol val="none"/>
          </c:marker>
          <c:xVal>
            <c:numRef>
              <c:f>Table!$C$18:$C$136</c:f>
              <c:numCache>
                <c:formatCode>0.000</c:formatCode>
                <c:ptCount val="1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0.99974619289340105</c:v>
                </c:pt>
                <c:pt idx="33">
                  <c:v>0.99942893401015231</c:v>
                </c:pt>
                <c:pt idx="34">
                  <c:v>0.99942893401015231</c:v>
                </c:pt>
                <c:pt idx="35">
                  <c:v>0.99942893401015231</c:v>
                </c:pt>
                <c:pt idx="36">
                  <c:v>0.99942893401015231</c:v>
                </c:pt>
                <c:pt idx="37">
                  <c:v>0.99942893401015231</c:v>
                </c:pt>
                <c:pt idx="38">
                  <c:v>0.99942893401015231</c:v>
                </c:pt>
                <c:pt idx="39">
                  <c:v>0.99942893401015231</c:v>
                </c:pt>
                <c:pt idx="40">
                  <c:v>0.99942893401015231</c:v>
                </c:pt>
                <c:pt idx="41">
                  <c:v>0.99942893401015231</c:v>
                </c:pt>
                <c:pt idx="42">
                  <c:v>0.99904822335025378</c:v>
                </c:pt>
                <c:pt idx="43">
                  <c:v>0.99822335025380715</c:v>
                </c:pt>
                <c:pt idx="44">
                  <c:v>0.99720812182741114</c:v>
                </c:pt>
                <c:pt idx="45">
                  <c:v>0.99416243654822334</c:v>
                </c:pt>
                <c:pt idx="46">
                  <c:v>0.9913071065989848</c:v>
                </c:pt>
                <c:pt idx="47">
                  <c:v>0.98673857868020309</c:v>
                </c:pt>
                <c:pt idx="48">
                  <c:v>0.96694162436548226</c:v>
                </c:pt>
                <c:pt idx="49">
                  <c:v>0.93984771573604065</c:v>
                </c:pt>
                <c:pt idx="50">
                  <c:v>0.89720812182741116</c:v>
                </c:pt>
                <c:pt idx="51">
                  <c:v>0.8279187817258884</c:v>
                </c:pt>
                <c:pt idx="52">
                  <c:v>0.75526649746192898</c:v>
                </c:pt>
                <c:pt idx="53">
                  <c:v>0.67912436548223343</c:v>
                </c:pt>
                <c:pt idx="54">
                  <c:v>0.62620558375634516</c:v>
                </c:pt>
                <c:pt idx="55">
                  <c:v>0.59657360406091375</c:v>
                </c:pt>
                <c:pt idx="56">
                  <c:v>0.56922588832487309</c:v>
                </c:pt>
                <c:pt idx="57">
                  <c:v>0.54441624365482233</c:v>
                </c:pt>
                <c:pt idx="58">
                  <c:v>0.52087563451776653</c:v>
                </c:pt>
                <c:pt idx="59">
                  <c:v>0.49866751269035536</c:v>
                </c:pt>
                <c:pt idx="60">
                  <c:v>0.48045685279187822</c:v>
                </c:pt>
                <c:pt idx="61">
                  <c:v>0.46288071065989844</c:v>
                </c:pt>
                <c:pt idx="62">
                  <c:v>0.44631979695431467</c:v>
                </c:pt>
                <c:pt idx="63">
                  <c:v>0.42842639593908627</c:v>
                </c:pt>
                <c:pt idx="64">
                  <c:v>0.41345177664974619</c:v>
                </c:pt>
                <c:pt idx="65">
                  <c:v>0.39720812182741128</c:v>
                </c:pt>
                <c:pt idx="66">
                  <c:v>0.3811548223350254</c:v>
                </c:pt>
                <c:pt idx="67">
                  <c:v>0.36675126903553301</c:v>
                </c:pt>
                <c:pt idx="68">
                  <c:v>0.35266497461928936</c:v>
                </c:pt>
                <c:pt idx="69">
                  <c:v>0.33921319796954308</c:v>
                </c:pt>
                <c:pt idx="70">
                  <c:v>0.32557106598984775</c:v>
                </c:pt>
                <c:pt idx="71">
                  <c:v>0.31129441624365495</c:v>
                </c:pt>
                <c:pt idx="72">
                  <c:v>0.29815989847715729</c:v>
                </c:pt>
                <c:pt idx="73">
                  <c:v>0.28604060913705587</c:v>
                </c:pt>
                <c:pt idx="74">
                  <c:v>0.27366751269035527</c:v>
                </c:pt>
                <c:pt idx="75">
                  <c:v>0.26148477157360417</c:v>
                </c:pt>
                <c:pt idx="76">
                  <c:v>0.24968274111675126</c:v>
                </c:pt>
                <c:pt idx="77">
                  <c:v>0.23838832487309658</c:v>
                </c:pt>
                <c:pt idx="78">
                  <c:v>0.22753807106598989</c:v>
                </c:pt>
                <c:pt idx="79">
                  <c:v>0.21649746192893415</c:v>
                </c:pt>
                <c:pt idx="80">
                  <c:v>0.20615482233502536</c:v>
                </c:pt>
                <c:pt idx="81">
                  <c:v>0.19631979695431478</c:v>
                </c:pt>
                <c:pt idx="82">
                  <c:v>0.18616751269035536</c:v>
                </c:pt>
                <c:pt idx="83">
                  <c:v>0.17639593908629447</c:v>
                </c:pt>
                <c:pt idx="84">
                  <c:v>0.16725888324873095</c:v>
                </c:pt>
                <c:pt idx="85">
                  <c:v>0.15767766497461944</c:v>
                </c:pt>
                <c:pt idx="86">
                  <c:v>0.14860406091370559</c:v>
                </c:pt>
                <c:pt idx="87">
                  <c:v>0.13959390862944165</c:v>
                </c:pt>
                <c:pt idx="88">
                  <c:v>0.13071065989847708</c:v>
                </c:pt>
                <c:pt idx="89">
                  <c:v>0.12176395939086293</c:v>
                </c:pt>
                <c:pt idx="90">
                  <c:v>0.113261421319797</c:v>
                </c:pt>
                <c:pt idx="91">
                  <c:v>0.10488578680203042</c:v>
                </c:pt>
                <c:pt idx="92">
                  <c:v>9.68274111675127E-2</c:v>
                </c:pt>
                <c:pt idx="93">
                  <c:v>8.8642131979695504E-2</c:v>
                </c:pt>
                <c:pt idx="94">
                  <c:v>8.1027918781725994E-2</c:v>
                </c:pt>
                <c:pt idx="95">
                  <c:v>7.4175126903553323E-2</c:v>
                </c:pt>
                <c:pt idx="96">
                  <c:v>6.6941624365482344E-2</c:v>
                </c:pt>
                <c:pt idx="97">
                  <c:v>6.0406091370558523E-2</c:v>
                </c:pt>
                <c:pt idx="98">
                  <c:v>5.4251269035533123E-2</c:v>
                </c:pt>
                <c:pt idx="99">
                  <c:v>4.8477157360406142E-2</c:v>
                </c:pt>
                <c:pt idx="100">
                  <c:v>4.3083756345177693E-2</c:v>
                </c:pt>
                <c:pt idx="101">
                  <c:v>3.7753807106599035E-2</c:v>
                </c:pt>
                <c:pt idx="102">
                  <c:v>3.248730964467017E-2</c:v>
                </c:pt>
                <c:pt idx="103">
                  <c:v>2.7982233502538034E-2</c:v>
                </c:pt>
                <c:pt idx="104">
                  <c:v>2.3984771573604124E-2</c:v>
                </c:pt>
                <c:pt idx="105">
                  <c:v>2.0368020304568524E-2</c:v>
                </c:pt>
                <c:pt idx="106">
                  <c:v>1.7195431472081246E-2</c:v>
                </c:pt>
                <c:pt idx="107">
                  <c:v>1.4213197969543123E-2</c:v>
                </c:pt>
                <c:pt idx="108">
                  <c:v>1.1484771573604058E-2</c:v>
                </c:pt>
                <c:pt idx="109">
                  <c:v>8.9467005076142581E-3</c:v>
                </c:pt>
                <c:pt idx="110">
                  <c:v>6.8527918781726704E-3</c:v>
                </c:pt>
                <c:pt idx="111">
                  <c:v>5.0126903553299185E-3</c:v>
                </c:pt>
                <c:pt idx="112">
                  <c:v>2.9187817258884419E-3</c:v>
                </c:pt>
                <c:pt idx="113">
                  <c:v>2.9187817258884419E-3</c:v>
                </c:pt>
                <c:pt idx="114">
                  <c:v>1.5862944162438053E-3</c:v>
                </c:pt>
                <c:pt idx="115">
                  <c:v>7.6142131979706207E-4</c:v>
                </c:pt>
                <c:pt idx="116">
                  <c:v>3.8071065989853103E-4</c:v>
                </c:pt>
                <c:pt idx="117">
                  <c:v>3.8071065989853103E-4</c:v>
                </c:pt>
                <c:pt idx="118">
                  <c:v>0</c:v>
                </c:pt>
              </c:numCache>
            </c:numRef>
          </c:xVal>
          <c:yVal>
            <c:numRef>
              <c:f>Table!$O$18:$O$136</c:f>
              <c:numCache>
                <c:formatCode>????0.00</c:formatCode>
                <c:ptCount val="119"/>
                <c:pt idx="0">
                  <c:v>0.72627924571492541</c:v>
                </c:pt>
                <c:pt idx="1">
                  <c:v>0.77012847217272151</c:v>
                </c:pt>
                <c:pt idx="2">
                  <c:v>0.87023175907546968</c:v>
                </c:pt>
                <c:pt idx="3">
                  <c:v>0.96782267308423287</c:v>
                </c:pt>
                <c:pt idx="4">
                  <c:v>1.0426450857340235</c:v>
                </c:pt>
                <c:pt idx="5">
                  <c:v>1.135682345403126</c:v>
                </c:pt>
                <c:pt idx="6">
                  <c:v>1.2408497074834965</c:v>
                </c:pt>
                <c:pt idx="7">
                  <c:v>1.3542609689562066</c:v>
                </c:pt>
                <c:pt idx="8">
                  <c:v>1.4838456237570508</c:v>
                </c:pt>
                <c:pt idx="9">
                  <c:v>1.6310565052812807</c:v>
                </c:pt>
                <c:pt idx="10">
                  <c:v>1.7781888428565422</c:v>
                </c:pt>
                <c:pt idx="11">
                  <c:v>1.9452240333719337</c:v>
                </c:pt>
                <c:pt idx="12">
                  <c:v>2.1286289770878812</c:v>
                </c:pt>
                <c:pt idx="13">
                  <c:v>2.3216911519562657</c:v>
                </c:pt>
                <c:pt idx="14">
                  <c:v>2.534459819892358</c:v>
                </c:pt>
                <c:pt idx="15">
                  <c:v>2.7761211780154533</c:v>
                </c:pt>
                <c:pt idx="16">
                  <c:v>3.0368609072751767</c:v>
                </c:pt>
                <c:pt idx="17">
                  <c:v>3.320329923334556</c:v>
                </c:pt>
                <c:pt idx="18">
                  <c:v>3.6326523576064522</c:v>
                </c:pt>
                <c:pt idx="19">
                  <c:v>3.9733569463970557</c:v>
                </c:pt>
                <c:pt idx="20">
                  <c:v>4.3473510788922214</c:v>
                </c:pt>
                <c:pt idx="21">
                  <c:v>4.7574216873163211</c:v>
                </c:pt>
                <c:pt idx="22">
                  <c:v>5.1931261010272305</c:v>
                </c:pt>
                <c:pt idx="23">
                  <c:v>5.7233992665817981</c:v>
                </c:pt>
                <c:pt idx="24">
                  <c:v>6.2053871950168595</c:v>
                </c:pt>
                <c:pt idx="25">
                  <c:v>6.8317591117952867</c:v>
                </c:pt>
                <c:pt idx="26">
                  <c:v>7.4549516062651682</c:v>
                </c:pt>
                <c:pt idx="27">
                  <c:v>8.1264683801683706</c:v>
                </c:pt>
                <c:pt idx="28">
                  <c:v>8.8968320248666597</c:v>
                </c:pt>
                <c:pt idx="29">
                  <c:v>9.761096568181701</c:v>
                </c:pt>
                <c:pt idx="30">
                  <c:v>10.670781561424919</c:v>
                </c:pt>
                <c:pt idx="31">
                  <c:v>11.706674278984664</c:v>
                </c:pt>
                <c:pt idx="32">
                  <c:v>12.81189420352476</c:v>
                </c:pt>
                <c:pt idx="33">
                  <c:v>13.967321624988072</c:v>
                </c:pt>
                <c:pt idx="34">
                  <c:v>15.762166607900033</c:v>
                </c:pt>
                <c:pt idx="35">
                  <c:v>16.670149356260922</c:v>
                </c:pt>
                <c:pt idx="36">
                  <c:v>17.516594068908194</c:v>
                </c:pt>
                <c:pt idx="37">
                  <c:v>19.65964412841593</c:v>
                </c:pt>
                <c:pt idx="38">
                  <c:v>22.977810877904474</c:v>
                </c:pt>
                <c:pt idx="39">
                  <c:v>25.062242348129264</c:v>
                </c:pt>
                <c:pt idx="40">
                  <c:v>26.558549589474005</c:v>
                </c:pt>
                <c:pt idx="41">
                  <c:v>28.390093428729244</c:v>
                </c:pt>
                <c:pt idx="42">
                  <c:v>31.506919425195971</c:v>
                </c:pt>
                <c:pt idx="43">
                  <c:v>34.91753102465664</c:v>
                </c:pt>
                <c:pt idx="44">
                  <c:v>37.579404746701741</c:v>
                </c:pt>
                <c:pt idx="45">
                  <c:v>41.914964587500542</c:v>
                </c:pt>
                <c:pt idx="46">
                  <c:v>45.088404694926822</c:v>
                </c:pt>
                <c:pt idx="47">
                  <c:v>48.715749824121822</c:v>
                </c:pt>
                <c:pt idx="48">
                  <c:v>53.945292298868857</c:v>
                </c:pt>
                <c:pt idx="49">
                  <c:v>58.494774622807306</c:v>
                </c:pt>
                <c:pt idx="50">
                  <c:v>63.740668937222665</c:v>
                </c:pt>
                <c:pt idx="51">
                  <c:v>70.36838924245086</c:v>
                </c:pt>
                <c:pt idx="52">
                  <c:v>76.765280364693538</c:v>
                </c:pt>
                <c:pt idx="53">
                  <c:v>83.618611962496217</c:v>
                </c:pt>
                <c:pt idx="54">
                  <c:v>91.769507970115185</c:v>
                </c:pt>
                <c:pt idx="55">
                  <c:v>99.921366715260703</c:v>
                </c:pt>
                <c:pt idx="56">
                  <c:v>109.52939904043467</c:v>
                </c:pt>
                <c:pt idx="57">
                  <c:v>120.20836295219247</c:v>
                </c:pt>
                <c:pt idx="58">
                  <c:v>131.27756627356317</c:v>
                </c:pt>
                <c:pt idx="59">
                  <c:v>143.71797240181834</c:v>
                </c:pt>
                <c:pt idx="60">
                  <c:v>157.27828479510674</c:v>
                </c:pt>
                <c:pt idx="61">
                  <c:v>171.91286528518549</c:v>
                </c:pt>
                <c:pt idx="62">
                  <c:v>188.38355526862912</c:v>
                </c:pt>
                <c:pt idx="63">
                  <c:v>206.60213565178432</c:v>
                </c:pt>
                <c:pt idx="64">
                  <c:v>225.68594515306643</c:v>
                </c:pt>
                <c:pt idx="65">
                  <c:v>246.98744626872886</c:v>
                </c:pt>
                <c:pt idx="66">
                  <c:v>270.53277254567519</c:v>
                </c:pt>
                <c:pt idx="67">
                  <c:v>295.33039252126616</c:v>
                </c:pt>
                <c:pt idx="68">
                  <c:v>323.65151425773149</c:v>
                </c:pt>
                <c:pt idx="69">
                  <c:v>354.15292047872902</c:v>
                </c:pt>
                <c:pt idx="70">
                  <c:v>387.95091636999433</c:v>
                </c:pt>
                <c:pt idx="71">
                  <c:v>425.01551743451768</c:v>
                </c:pt>
                <c:pt idx="72">
                  <c:v>464.13905396038064</c:v>
                </c:pt>
                <c:pt idx="73">
                  <c:v>505.55178924667916</c:v>
                </c:pt>
                <c:pt idx="74">
                  <c:v>552.92323779609887</c:v>
                </c:pt>
                <c:pt idx="75">
                  <c:v>605.93571092316461</c:v>
                </c:pt>
                <c:pt idx="76">
                  <c:v>663.6409342116583</c:v>
                </c:pt>
                <c:pt idx="77">
                  <c:v>726.87700374956967</c:v>
                </c:pt>
                <c:pt idx="78">
                  <c:v>793.75342639699659</c:v>
                </c:pt>
                <c:pt idx="79">
                  <c:v>872.00490893357687</c:v>
                </c:pt>
                <c:pt idx="80">
                  <c:v>952.74533989449628</c:v>
                </c:pt>
                <c:pt idx="81">
                  <c:v>1039.4194088479983</c:v>
                </c:pt>
                <c:pt idx="82">
                  <c:v>1140.2583305683245</c:v>
                </c:pt>
                <c:pt idx="83">
                  <c:v>1246.4621255281497</c:v>
                </c:pt>
                <c:pt idx="84">
                  <c:v>1362.3578506116446</c:v>
                </c:pt>
                <c:pt idx="85">
                  <c:v>1492.0426815592393</c:v>
                </c:pt>
                <c:pt idx="86">
                  <c:v>1632.0467653424539</c:v>
                </c:pt>
                <c:pt idx="87">
                  <c:v>1785.7547049492498</c:v>
                </c:pt>
                <c:pt idx="88">
                  <c:v>1954.5101586044548</c:v>
                </c:pt>
                <c:pt idx="89">
                  <c:v>2136.7493465993107</c:v>
                </c:pt>
                <c:pt idx="90">
                  <c:v>2334.2491149507387</c:v>
                </c:pt>
                <c:pt idx="91">
                  <c:v>2555.7157857277575</c:v>
                </c:pt>
                <c:pt idx="92">
                  <c:v>2796.545151224816</c:v>
                </c:pt>
                <c:pt idx="93">
                  <c:v>3061.3686991604304</c:v>
                </c:pt>
                <c:pt idx="94">
                  <c:v>3345.8284474633192</c:v>
                </c:pt>
                <c:pt idx="95">
                  <c:v>3663.2022369269971</c:v>
                </c:pt>
                <c:pt idx="96">
                  <c:v>4005.5337106664811</c:v>
                </c:pt>
                <c:pt idx="97">
                  <c:v>4380.9005745899467</c:v>
                </c:pt>
                <c:pt idx="98">
                  <c:v>4795.5436020083698</c:v>
                </c:pt>
                <c:pt idx="99">
                  <c:v>5247.7432114148014</c:v>
                </c:pt>
                <c:pt idx="100">
                  <c:v>5729.6032500908022</c:v>
                </c:pt>
                <c:pt idx="101">
                  <c:v>6259.4610605449407</c:v>
                </c:pt>
                <c:pt idx="102">
                  <c:v>6885.3050076543286</c:v>
                </c:pt>
                <c:pt idx="103">
                  <c:v>7511.2322058377667</c:v>
                </c:pt>
                <c:pt idx="104">
                  <c:v>8233.6158857275896</c:v>
                </c:pt>
                <c:pt idx="105">
                  <c:v>9003.8736366471003</c:v>
                </c:pt>
                <c:pt idx="106">
                  <c:v>9821.7077301789304</c:v>
                </c:pt>
                <c:pt idx="107">
                  <c:v>10737.661445517955</c:v>
                </c:pt>
                <c:pt idx="108">
                  <c:v>11749.408456041267</c:v>
                </c:pt>
                <c:pt idx="109">
                  <c:v>12857.649575875052</c:v>
                </c:pt>
                <c:pt idx="110">
                  <c:v>14109.572642619391</c:v>
                </c:pt>
                <c:pt idx="111">
                  <c:v>15407.466293971482</c:v>
                </c:pt>
                <c:pt idx="112">
                  <c:v>16850.685277842796</c:v>
                </c:pt>
                <c:pt idx="113">
                  <c:v>18437.71414247857</c:v>
                </c:pt>
                <c:pt idx="114">
                  <c:v>20169.899015415165</c:v>
                </c:pt>
                <c:pt idx="115">
                  <c:v>22046.767670221227</c:v>
                </c:pt>
                <c:pt idx="116">
                  <c:v>24116.729900939696</c:v>
                </c:pt>
                <c:pt idx="117">
                  <c:v>26376.013540260472</c:v>
                </c:pt>
                <c:pt idx="118">
                  <c:v>28626.449048479306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6878592"/>
        <c:axId val="226810880"/>
      </c:scatterChart>
      <c:valAx>
        <c:axId val="226790400"/>
        <c:scaling>
          <c:orientation val="minMax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/>
                  <a:t>Wetting Phase Saturation (1- Hg), fraction pore space</a:t>
                </a:r>
              </a:p>
            </c:rich>
          </c:tx>
          <c:layout>
            <c:manualLayout>
              <c:xMode val="edge"/>
              <c:yMode val="edge"/>
              <c:x val="0.20890446913314276"/>
              <c:y val="0.9364548494983278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50"/>
            </a:pPr>
            <a:endParaRPr lang="en-US"/>
          </a:p>
        </c:txPr>
        <c:crossAx val="226808960"/>
        <c:crossesAt val="0"/>
        <c:crossBetween val="midCat"/>
        <c:majorUnit val="0.2"/>
        <c:minorUnit val="0.1"/>
      </c:valAx>
      <c:valAx>
        <c:axId val="226808960"/>
        <c:scaling>
          <c:orientation val="minMax"/>
          <c:max val="2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550" b="0"/>
                  <a:t>Equivalent </a:t>
                </a:r>
                <a:r>
                  <a:rPr lang="en-US" sz="600" b="0"/>
                  <a:t>Gas-Water</a:t>
                </a:r>
                <a:r>
                  <a:rPr lang="en-US" sz="550" b="0"/>
                  <a:t> Capillary Pressure, psi.</a:t>
                </a:r>
              </a:p>
            </c:rich>
          </c:tx>
          <c:layout>
            <c:manualLayout>
              <c:xMode val="edge"/>
              <c:yMode val="edge"/>
              <c:x val="1.7123287671232879E-2"/>
              <c:y val="0.22742474916387959"/>
            </c:manualLayout>
          </c:layout>
          <c:overlay val="0"/>
          <c:spPr>
            <a:noFill/>
            <a:ln w="25400">
              <a:noFill/>
            </a:ln>
          </c:spPr>
        </c:title>
        <c:numFmt formatCode="????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50"/>
            </a:pPr>
            <a:endParaRPr lang="en-US"/>
          </a:p>
        </c:txPr>
        <c:crossAx val="226790400"/>
        <c:crossesAt val="0"/>
        <c:crossBetween val="midCat"/>
        <c:majorUnit val="40"/>
        <c:minorUnit val="20"/>
      </c:valAx>
      <c:valAx>
        <c:axId val="226810880"/>
        <c:scaling>
          <c:orientation val="minMax"/>
          <c:max val="429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 sz="575" b="1"/>
                  <a:t>Estimated Height Above Free Water, ft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226878592"/>
        <c:crosses val="max"/>
        <c:crossBetween val="midCat"/>
        <c:majorUnit val="85.8"/>
        <c:minorUnit val="42.9"/>
      </c:valAx>
      <c:valAx>
        <c:axId val="226878592"/>
        <c:scaling>
          <c:orientation val="minMax"/>
        </c:scaling>
        <c:delete val="1"/>
        <c:axPos val="b"/>
        <c:numFmt formatCode="0.000" sourceLinked="1"/>
        <c:majorTickMark val="out"/>
        <c:minorTickMark val="none"/>
        <c:tickLblPos val="none"/>
        <c:crossAx val="226810880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</a:ln>
      </c:spPr>
    </c:plotArea>
    <c:plotVisOnly val="1"/>
    <c:dispBlanksAs val="gap"/>
    <c:showDLblsOverMax val="0"/>
  </c:chart>
  <c:spPr>
    <a:solidFill>
      <a:schemeClr val="accent2">
        <a:lumMod val="20000"/>
        <a:lumOff val="80000"/>
      </a:schemeClr>
    </a:solidFill>
    <a:ln w="3175">
      <a:solidFill>
        <a:sysClr val="windowText" lastClr="000000"/>
      </a:solidFill>
    </a:ln>
  </c:spPr>
  <c:txPr>
    <a:bodyPr/>
    <a:lstStyle/>
    <a:p>
      <a:pPr>
        <a:defRPr sz="575"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1" l="0.75000000000001199" r="0.75000000000001199" t="1" header="0.5" footer="0.5"/>
    <c:pageSetup orientation="landscape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9031174022717789"/>
          <c:y val="7.0234113712374549E-2"/>
          <c:w val="0.73356525323931165"/>
          <c:h val="0.79152731326644366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00FF00"/>
              </a:solidFill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</a:ln>
            </c:spPr>
          </c:marker>
          <c:xVal>
            <c:numRef>
              <c:f>Table!$C$18:$C$136</c:f>
              <c:numCache>
                <c:formatCode>0.000</c:formatCode>
                <c:ptCount val="1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0.99974619289340105</c:v>
                </c:pt>
                <c:pt idx="33">
                  <c:v>0.99942893401015231</c:v>
                </c:pt>
                <c:pt idx="34">
                  <c:v>0.99942893401015231</c:v>
                </c:pt>
                <c:pt idx="35">
                  <c:v>0.99942893401015231</c:v>
                </c:pt>
                <c:pt idx="36">
                  <c:v>0.99942893401015231</c:v>
                </c:pt>
                <c:pt idx="37">
                  <c:v>0.99942893401015231</c:v>
                </c:pt>
                <c:pt idx="38">
                  <c:v>0.99942893401015231</c:v>
                </c:pt>
                <c:pt idx="39">
                  <c:v>0.99942893401015231</c:v>
                </c:pt>
                <c:pt idx="40">
                  <c:v>0.99942893401015231</c:v>
                </c:pt>
                <c:pt idx="41">
                  <c:v>0.99942893401015231</c:v>
                </c:pt>
                <c:pt idx="42">
                  <c:v>0.99904822335025378</c:v>
                </c:pt>
                <c:pt idx="43">
                  <c:v>0.99822335025380715</c:v>
                </c:pt>
                <c:pt idx="44">
                  <c:v>0.99720812182741114</c:v>
                </c:pt>
                <c:pt idx="45">
                  <c:v>0.99416243654822334</c:v>
                </c:pt>
                <c:pt idx="46">
                  <c:v>0.9913071065989848</c:v>
                </c:pt>
                <c:pt idx="47">
                  <c:v>0.98673857868020309</c:v>
                </c:pt>
                <c:pt idx="48">
                  <c:v>0.96694162436548226</c:v>
                </c:pt>
                <c:pt idx="49">
                  <c:v>0.93984771573604065</c:v>
                </c:pt>
                <c:pt idx="50">
                  <c:v>0.89720812182741116</c:v>
                </c:pt>
                <c:pt idx="51">
                  <c:v>0.8279187817258884</c:v>
                </c:pt>
                <c:pt idx="52">
                  <c:v>0.75526649746192898</c:v>
                </c:pt>
                <c:pt idx="53">
                  <c:v>0.67912436548223343</c:v>
                </c:pt>
                <c:pt idx="54">
                  <c:v>0.62620558375634516</c:v>
                </c:pt>
                <c:pt idx="55">
                  <c:v>0.59657360406091375</c:v>
                </c:pt>
                <c:pt idx="56">
                  <c:v>0.56922588832487309</c:v>
                </c:pt>
                <c:pt idx="57">
                  <c:v>0.54441624365482233</c:v>
                </c:pt>
                <c:pt idx="58">
                  <c:v>0.52087563451776653</c:v>
                </c:pt>
                <c:pt idx="59">
                  <c:v>0.49866751269035536</c:v>
                </c:pt>
                <c:pt idx="60">
                  <c:v>0.48045685279187822</c:v>
                </c:pt>
                <c:pt idx="61">
                  <c:v>0.46288071065989844</c:v>
                </c:pt>
                <c:pt idx="62">
                  <c:v>0.44631979695431467</c:v>
                </c:pt>
                <c:pt idx="63">
                  <c:v>0.42842639593908627</c:v>
                </c:pt>
                <c:pt idx="64">
                  <c:v>0.41345177664974619</c:v>
                </c:pt>
                <c:pt idx="65">
                  <c:v>0.39720812182741128</c:v>
                </c:pt>
                <c:pt idx="66">
                  <c:v>0.3811548223350254</c:v>
                </c:pt>
                <c:pt idx="67">
                  <c:v>0.36675126903553301</c:v>
                </c:pt>
                <c:pt idx="68">
                  <c:v>0.35266497461928936</c:v>
                </c:pt>
                <c:pt idx="69">
                  <c:v>0.33921319796954308</c:v>
                </c:pt>
                <c:pt idx="70">
                  <c:v>0.32557106598984775</c:v>
                </c:pt>
                <c:pt idx="71">
                  <c:v>0.31129441624365495</c:v>
                </c:pt>
                <c:pt idx="72">
                  <c:v>0.29815989847715729</c:v>
                </c:pt>
                <c:pt idx="73">
                  <c:v>0.28604060913705587</c:v>
                </c:pt>
                <c:pt idx="74">
                  <c:v>0.27366751269035527</c:v>
                </c:pt>
                <c:pt idx="75">
                  <c:v>0.26148477157360417</c:v>
                </c:pt>
                <c:pt idx="76">
                  <c:v>0.24968274111675126</c:v>
                </c:pt>
                <c:pt idx="77">
                  <c:v>0.23838832487309658</c:v>
                </c:pt>
                <c:pt idx="78">
                  <c:v>0.22753807106598989</c:v>
                </c:pt>
                <c:pt idx="79">
                  <c:v>0.21649746192893415</c:v>
                </c:pt>
                <c:pt idx="80">
                  <c:v>0.20615482233502536</c:v>
                </c:pt>
                <c:pt idx="81">
                  <c:v>0.19631979695431478</c:v>
                </c:pt>
                <c:pt idx="82">
                  <c:v>0.18616751269035536</c:v>
                </c:pt>
                <c:pt idx="83">
                  <c:v>0.17639593908629447</c:v>
                </c:pt>
                <c:pt idx="84">
                  <c:v>0.16725888324873095</c:v>
                </c:pt>
                <c:pt idx="85">
                  <c:v>0.15767766497461944</c:v>
                </c:pt>
                <c:pt idx="86">
                  <c:v>0.14860406091370559</c:v>
                </c:pt>
                <c:pt idx="87">
                  <c:v>0.13959390862944165</c:v>
                </c:pt>
                <c:pt idx="88">
                  <c:v>0.13071065989847708</c:v>
                </c:pt>
                <c:pt idx="89">
                  <c:v>0.12176395939086293</c:v>
                </c:pt>
                <c:pt idx="90">
                  <c:v>0.113261421319797</c:v>
                </c:pt>
                <c:pt idx="91">
                  <c:v>0.10488578680203042</c:v>
                </c:pt>
                <c:pt idx="92">
                  <c:v>9.68274111675127E-2</c:v>
                </c:pt>
                <c:pt idx="93">
                  <c:v>8.8642131979695504E-2</c:v>
                </c:pt>
                <c:pt idx="94">
                  <c:v>8.1027918781725994E-2</c:v>
                </c:pt>
                <c:pt idx="95">
                  <c:v>7.4175126903553323E-2</c:v>
                </c:pt>
                <c:pt idx="96">
                  <c:v>6.6941624365482344E-2</c:v>
                </c:pt>
                <c:pt idx="97">
                  <c:v>6.0406091370558523E-2</c:v>
                </c:pt>
                <c:pt idx="98">
                  <c:v>5.4251269035533123E-2</c:v>
                </c:pt>
                <c:pt idx="99">
                  <c:v>4.8477157360406142E-2</c:v>
                </c:pt>
                <c:pt idx="100">
                  <c:v>4.3083756345177693E-2</c:v>
                </c:pt>
                <c:pt idx="101">
                  <c:v>3.7753807106599035E-2</c:v>
                </c:pt>
                <c:pt idx="102">
                  <c:v>3.248730964467017E-2</c:v>
                </c:pt>
                <c:pt idx="103">
                  <c:v>2.7982233502538034E-2</c:v>
                </c:pt>
                <c:pt idx="104">
                  <c:v>2.3984771573604124E-2</c:v>
                </c:pt>
                <c:pt idx="105">
                  <c:v>2.0368020304568524E-2</c:v>
                </c:pt>
                <c:pt idx="106">
                  <c:v>1.7195431472081246E-2</c:v>
                </c:pt>
                <c:pt idx="107">
                  <c:v>1.4213197969543123E-2</c:v>
                </c:pt>
                <c:pt idx="108">
                  <c:v>1.1484771573604058E-2</c:v>
                </c:pt>
                <c:pt idx="109">
                  <c:v>8.9467005076142581E-3</c:v>
                </c:pt>
                <c:pt idx="110">
                  <c:v>6.8527918781726704E-3</c:v>
                </c:pt>
                <c:pt idx="111">
                  <c:v>5.0126903553299185E-3</c:v>
                </c:pt>
                <c:pt idx="112">
                  <c:v>2.9187817258884419E-3</c:v>
                </c:pt>
                <c:pt idx="113">
                  <c:v>2.9187817258884419E-3</c:v>
                </c:pt>
                <c:pt idx="114">
                  <c:v>1.5862944162438053E-3</c:v>
                </c:pt>
                <c:pt idx="115">
                  <c:v>7.6142131979706207E-4</c:v>
                </c:pt>
                <c:pt idx="116">
                  <c:v>3.8071065989853103E-4</c:v>
                </c:pt>
                <c:pt idx="117">
                  <c:v>3.8071065989853103E-4</c:v>
                </c:pt>
                <c:pt idx="118">
                  <c:v>0</c:v>
                </c:pt>
              </c:numCache>
            </c:numRef>
          </c:xVal>
          <c:yVal>
            <c:numRef>
              <c:f>Table!$K$18:$K$136</c:f>
              <c:numCache>
                <c:formatCode>??0.000</c:formatCode>
                <c:ptCount val="119"/>
                <c:pt idx="0">
                  <c:v>2.7059011107954563E-3</c:v>
                </c:pt>
                <c:pt idx="1">
                  <c:v>2.869270326258683E-3</c:v>
                </c:pt>
                <c:pt idx="2">
                  <c:v>3.2422254902986351E-3</c:v>
                </c:pt>
                <c:pt idx="3">
                  <c:v>3.6058202979127683E-3</c:v>
                </c:pt>
                <c:pt idx="4">
                  <c:v>3.8845864208551461E-3</c:v>
                </c:pt>
                <c:pt idx="5">
                  <c:v>4.2312156626644389E-3</c:v>
                </c:pt>
                <c:pt idx="6">
                  <c:v>4.6230380691997921E-3</c:v>
                </c:pt>
                <c:pt idx="7">
                  <c:v>5.0455748003625242E-3</c:v>
                </c:pt>
                <c:pt idx="8">
                  <c:v>5.528368799277485E-3</c:v>
                </c:pt>
                <c:pt idx="9">
                  <c:v>6.076832892376388E-3</c:v>
                </c:pt>
                <c:pt idx="10">
                  <c:v>6.6250043540115487E-3</c:v>
                </c:pt>
                <c:pt idx="11">
                  <c:v>7.2473279440414592E-3</c:v>
                </c:pt>
                <c:pt idx="12">
                  <c:v>7.9306403804829586E-3</c:v>
                </c:pt>
                <c:pt idx="13">
                  <c:v>8.6499327966041255E-3</c:v>
                </c:pt>
                <c:pt idx="14">
                  <c:v>9.4426457624606844E-3</c:v>
                </c:pt>
                <c:pt idx="15">
                  <c:v>1.034300432459739E-2</c:v>
                </c:pt>
                <c:pt idx="16">
                  <c:v>1.1314443240407087E-2</c:v>
                </c:pt>
                <c:pt idx="17">
                  <c:v>1.2370564739068555E-2</c:v>
                </c:pt>
                <c:pt idx="18">
                  <c:v>1.3534185518278299E-2</c:v>
                </c:pt>
                <c:pt idx="19">
                  <c:v>1.4803549789253854E-2</c:v>
                </c:pt>
                <c:pt idx="20">
                  <c:v>1.6196941028946352E-2</c:v>
                </c:pt>
                <c:pt idx="21">
                  <c:v>1.7724742520433382E-2</c:v>
                </c:pt>
                <c:pt idx="22">
                  <c:v>1.934804796939784E-2</c:v>
                </c:pt>
                <c:pt idx="23">
                  <c:v>2.1323688545890829E-2</c:v>
                </c:pt>
                <c:pt idx="24">
                  <c:v>2.3119432646575695E-2</c:v>
                </c:pt>
                <c:pt idx="25">
                  <c:v>2.5453108674607337E-2</c:v>
                </c:pt>
                <c:pt idx="26">
                  <c:v>2.7774939117890224E-2</c:v>
                </c:pt>
                <c:pt idx="27">
                  <c:v>3.0276811497065539E-2</c:v>
                </c:pt>
                <c:pt idx="28">
                  <c:v>3.3146958006420348E-2</c:v>
                </c:pt>
                <c:pt idx="29">
                  <c:v>3.6366951420214302E-2</c:v>
                </c:pt>
                <c:pt idx="30">
                  <c:v>3.9756167962217696E-2</c:v>
                </c:pt>
                <c:pt idx="31">
                  <c:v>4.3615597061490159E-2</c:v>
                </c:pt>
                <c:pt idx="32">
                  <c:v>4.7733318776837341E-2</c:v>
                </c:pt>
                <c:pt idx="33">
                  <c:v>5.2038098738026381E-2</c:v>
                </c:pt>
                <c:pt idx="34">
                  <c:v>5.8725158930950365E-2</c:v>
                </c:pt>
                <c:pt idx="35">
                  <c:v>6.2108033413277523E-2</c:v>
                </c:pt>
                <c:pt idx="36">
                  <c:v>6.5261635421998823E-2</c:v>
                </c:pt>
                <c:pt idx="37">
                  <c:v>7.3246004479390836E-2</c:v>
                </c:pt>
                <c:pt idx="38">
                  <c:v>8.5608509874140662E-2</c:v>
                </c:pt>
                <c:pt idx="39">
                  <c:v>9.3374483449643525E-2</c:v>
                </c:pt>
                <c:pt idx="40">
                  <c:v>9.8949280540892443E-2</c:v>
                </c:pt>
                <c:pt idx="41">
                  <c:v>0.10577306979048448</c:v>
                </c:pt>
                <c:pt idx="42">
                  <c:v>0.11738543924170497</c:v>
                </c:pt>
                <c:pt idx="43">
                  <c:v>0.13009236673539645</c:v>
                </c:pt>
                <c:pt idx="44">
                  <c:v>0.14000971891608405</c:v>
                </c:pt>
                <c:pt idx="45">
                  <c:v>0.15616272928827149</c:v>
                </c:pt>
                <c:pt idx="46">
                  <c:v>0.16798602612952276</c:v>
                </c:pt>
                <c:pt idx="47">
                  <c:v>0.18150043848845701</c:v>
                </c:pt>
                <c:pt idx="48">
                  <c:v>0.20098416306803049</c:v>
                </c:pt>
                <c:pt idx="49">
                  <c:v>0.21793418517938978</c:v>
                </c:pt>
                <c:pt idx="50">
                  <c:v>0.2374788318648656</c:v>
                </c:pt>
                <c:pt idx="51">
                  <c:v>0.26217175244846974</c:v>
                </c:pt>
                <c:pt idx="52">
                  <c:v>0.28600467194250723</c:v>
                </c:pt>
                <c:pt idx="53">
                  <c:v>0.31153815330323276</c:v>
                </c:pt>
                <c:pt idx="54">
                  <c:v>0.3419059748968179</c:v>
                </c:pt>
                <c:pt idx="55">
                  <c:v>0.37227738336495281</c:v>
                </c:pt>
                <c:pt idx="56">
                  <c:v>0.40807406280283881</c:v>
                </c:pt>
                <c:pt idx="57">
                  <c:v>0.44786071577613917</c:v>
                </c:pt>
                <c:pt idx="58">
                  <c:v>0.48910128507456896</c:v>
                </c:pt>
                <c:pt idx="59">
                  <c:v>0.53545054943783188</c:v>
                </c:pt>
                <c:pt idx="60">
                  <c:v>0.58597225246627671</c:v>
                </c:pt>
                <c:pt idx="61">
                  <c:v>0.64049635987781239</c:v>
                </c:pt>
                <c:pt idx="62">
                  <c:v>0.70186126681232963</c:v>
                </c:pt>
                <c:pt idx="63">
                  <c:v>0.76973829508589509</c:v>
                </c:pt>
                <c:pt idx="64">
                  <c:v>0.84083891049298498</c:v>
                </c:pt>
                <c:pt idx="65">
                  <c:v>0.92020198725795954</c:v>
                </c:pt>
                <c:pt idx="66">
                  <c:v>1.0079248912273759</c:v>
                </c:pt>
                <c:pt idx="67">
                  <c:v>1.1003134701836483</c:v>
                </c:pt>
                <c:pt idx="68">
                  <c:v>1.2058295719004728</c:v>
                </c:pt>
                <c:pt idx="69">
                  <c:v>1.3194687671014553</c:v>
                </c:pt>
                <c:pt idx="70">
                  <c:v>1.4453900778981184</c:v>
                </c:pt>
                <c:pt idx="71">
                  <c:v>1.5834817909457062</c:v>
                </c:pt>
                <c:pt idx="72">
                  <c:v>1.7292444869998524</c:v>
                </c:pt>
                <c:pt idx="73">
                  <c:v>1.8835360588345484</c:v>
                </c:pt>
                <c:pt idx="74">
                  <c:v>2.0600280293901521</c:v>
                </c:pt>
                <c:pt idx="75">
                  <c:v>2.2575367848266885</c:v>
                </c:pt>
                <c:pt idx="76">
                  <c:v>2.4725293358548144</c:v>
                </c:pt>
                <c:pt idx="77">
                  <c:v>2.7081281799833392</c:v>
                </c:pt>
                <c:pt idx="78">
                  <c:v>2.957289900348302</c:v>
                </c:pt>
                <c:pt idx="79">
                  <c:v>3.2488317208896467</c:v>
                </c:pt>
                <c:pt idx="80">
                  <c:v>3.5496466252288106</c:v>
                </c:pt>
                <c:pt idx="81">
                  <c:v>3.8725685052662588</c:v>
                </c:pt>
                <c:pt idx="82">
                  <c:v>4.2482644265036225</c:v>
                </c:pt>
                <c:pt idx="83">
                  <c:v>4.6439482746212972</c:v>
                </c:pt>
                <c:pt idx="84">
                  <c:v>5.0757413804963996</c:v>
                </c:pt>
                <c:pt idx="85">
                  <c:v>5.5589086060295863</c:v>
                </c:pt>
                <c:pt idx="86">
                  <c:v>6.08052230772911</c:v>
                </c:pt>
                <c:pt idx="87">
                  <c:v>6.6531925127143756</c:v>
                </c:pt>
                <c:pt idx="88">
                  <c:v>7.2819252931050817</c:v>
                </c:pt>
                <c:pt idx="89">
                  <c:v>7.9608944694035593</c:v>
                </c:pt>
                <c:pt idx="90">
                  <c:v>8.6967200429925633</c:v>
                </c:pt>
                <c:pt idx="91">
                  <c:v>9.5218391882736721</c:v>
                </c:pt>
                <c:pt idx="92">
                  <c:v>10.419097992590986</c:v>
                </c:pt>
                <c:pt idx="93">
                  <c:v>11.405752005839554</c:v>
                </c:pt>
                <c:pt idx="94">
                  <c:v>12.465564679065118</c:v>
                </c:pt>
                <c:pt idx="95">
                  <c:v>13.648005309874794</c:v>
                </c:pt>
                <c:pt idx="96">
                  <c:v>14.923430871760536</c:v>
                </c:pt>
                <c:pt idx="97">
                  <c:v>16.321936501707992</c:v>
                </c:pt>
                <c:pt idx="98">
                  <c:v>17.866773470538977</c:v>
                </c:pt>
                <c:pt idx="99">
                  <c:v>19.551535127454638</c:v>
                </c:pt>
                <c:pt idx="100">
                  <c:v>21.346802748819545</c:v>
                </c:pt>
                <c:pt idx="101">
                  <c:v>23.320895835370809</c:v>
                </c:pt>
                <c:pt idx="102">
                  <c:v>25.652604804970935</c:v>
                </c:pt>
                <c:pt idx="103">
                  <c:v>27.984623943387085</c:v>
                </c:pt>
                <c:pt idx="104">
                  <c:v>30.676011331044347</c:v>
                </c:pt>
                <c:pt idx="105">
                  <c:v>33.5457633115794</c:v>
                </c:pt>
                <c:pt idx="106">
                  <c:v>36.592770637192558</c:v>
                </c:pt>
                <c:pt idx="107">
                  <c:v>40.005342578902606</c:v>
                </c:pt>
                <c:pt idx="108">
                  <c:v>43.774811933522692</c:v>
                </c:pt>
                <c:pt idx="109">
                  <c:v>47.903789726679271</c:v>
                </c:pt>
                <c:pt idx="110">
                  <c:v>52.568083848975647</c:v>
                </c:pt>
                <c:pt idx="111">
                  <c:v>57.403650738169794</c:v>
                </c:pt>
                <c:pt idx="112">
                  <c:v>62.780656723979448</c:v>
                </c:pt>
                <c:pt idx="113">
                  <c:v>68.69345568253317</c:v>
                </c:pt>
                <c:pt idx="114">
                  <c:v>75.147062885873197</c:v>
                </c:pt>
                <c:pt idx="115">
                  <c:v>82.139718958342513</c:v>
                </c:pt>
                <c:pt idx="116">
                  <c:v>89.85178443791186</c:v>
                </c:pt>
                <c:pt idx="117">
                  <c:v>98.269205347719421</c:v>
                </c:pt>
                <c:pt idx="118">
                  <c:v>106.65366074471847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6930688"/>
        <c:axId val="226932992"/>
      </c:scatterChart>
      <c:valAx>
        <c:axId val="226930688"/>
        <c:scaling>
          <c:orientation val="minMax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575" b="0"/>
                  <a:t>Wetting Phase Saturation (1- Hg), fraction pore space</a:t>
                </a:r>
              </a:p>
            </c:rich>
          </c:tx>
          <c:layout>
            <c:manualLayout>
              <c:xMode val="edge"/>
              <c:yMode val="edge"/>
              <c:x val="0.22145365047362159"/>
              <c:y val="0.9297658862876256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75"/>
            </a:pPr>
            <a:endParaRPr lang="en-US"/>
          </a:p>
        </c:txPr>
        <c:crossAx val="226932992"/>
        <c:crossesAt val="0"/>
        <c:crossBetween val="midCat"/>
        <c:majorUnit val="0.2"/>
        <c:minorUnit val="0.1"/>
      </c:valAx>
      <c:valAx>
        <c:axId val="226932992"/>
        <c:scaling>
          <c:orientation val="minMax"/>
          <c:max val="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575" b="0"/>
                  <a:t>Leverett J Function.</a:t>
                </a:r>
              </a:p>
            </c:rich>
          </c:tx>
          <c:layout>
            <c:manualLayout>
              <c:xMode val="edge"/>
              <c:yMode val="edge"/>
              <c:x val="5.5363321799309036E-2"/>
              <c:y val="0.3311036789297744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75"/>
            </a:pPr>
            <a:endParaRPr lang="en-US"/>
          </a:p>
        </c:txPr>
        <c:crossAx val="226930688"/>
        <c:crosses val="autoZero"/>
        <c:crossBetween val="midCat"/>
        <c:majorUnit val="0.4"/>
        <c:minorUnit val="0.2"/>
      </c:valAx>
      <c:spPr>
        <a:solidFill>
          <a:srgbClr val="FFFFFF"/>
        </a:solidFill>
        <a:ln w="12700">
          <a:solidFill>
            <a:srgbClr val="000000"/>
          </a:solidFill>
        </a:ln>
      </c:spPr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3175">
      <a:solidFill>
        <a:sysClr val="windowText" lastClr="000000"/>
      </a:solidFill>
    </a:ln>
  </c:spPr>
  <c:txPr>
    <a:bodyPr/>
    <a:lstStyle/>
    <a:p>
      <a:pPr>
        <a:defRPr sz="600"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1" l="0.75000000000000921" r="0.75000000000000921" t="1" header="0.5" footer="0.5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619718309859155"/>
          <c:y val="5.369136314257017E-2"/>
          <c:w val="0.79577464788732399"/>
          <c:h val="0.81320051436523455"/>
        </c:manualLayout>
      </c:layout>
      <c:scatterChart>
        <c:scatterStyle val="lineMarker"/>
        <c:varyColors val="0"/>
        <c:ser>
          <c:idx val="2"/>
          <c:order val="0"/>
          <c:tx>
            <c:v>Uncorrected</c:v>
          </c:tx>
          <c:spPr>
            <a:ln w="12700">
              <a:solidFill>
                <a:srgbClr val="99CCFF"/>
              </a:solidFill>
            </a:ln>
          </c:spPr>
          <c:marker>
            <c:symbol val="circle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</a:ln>
            </c:spPr>
          </c:marker>
          <c:xVal>
            <c:numRef>
              <c:f>'Raw Data'!$D$18:$D$136</c:f>
              <c:numCache>
                <c:formatCode>0.000</c:formatCode>
                <c:ptCount val="119"/>
                <c:pt idx="0">
                  <c:v>0</c:v>
                </c:pt>
                <c:pt idx="1">
                  <c:v>8.5243392247312565E-4</c:v>
                </c:pt>
                <c:pt idx="2">
                  <c:v>1.420723224150278E-3</c:v>
                </c:pt>
                <c:pt idx="3">
                  <c:v>5.8046691454893273E-3</c:v>
                </c:pt>
                <c:pt idx="4">
                  <c:v>8.1996020002340943E-3</c:v>
                </c:pt>
                <c:pt idx="5">
                  <c:v>1.0878681158160599E-2</c:v>
                </c:pt>
                <c:pt idx="6">
                  <c:v>1.258354840225479E-2</c:v>
                </c:pt>
                <c:pt idx="7">
                  <c:v>1.3760719489139872E-2</c:v>
                </c:pt>
                <c:pt idx="8">
                  <c:v>1.4897297010960472E-2</c:v>
                </c:pt>
                <c:pt idx="9">
                  <c:v>1.5912100567130681E-2</c:v>
                </c:pt>
                <c:pt idx="10">
                  <c:v>1.6602165216417959E-2</c:v>
                </c:pt>
                <c:pt idx="11">
                  <c:v>1.7332822469406428E-2</c:v>
                </c:pt>
                <c:pt idx="12">
                  <c:v>1.7860520549342125E-2</c:v>
                </c:pt>
                <c:pt idx="13">
                  <c:v>1.8266440818174256E-2</c:v>
                </c:pt>
                <c:pt idx="14">
                  <c:v>1.8672363009732976E-2</c:v>
                </c:pt>
                <c:pt idx="15">
                  <c:v>1.9037690674863918E-2</c:v>
                </c:pt>
                <c:pt idx="16">
                  <c:v>1.936242765902026E-2</c:v>
                </c:pt>
                <c:pt idx="17">
                  <c:v>1.9605981358500803E-2</c:v>
                </c:pt>
                <c:pt idx="18">
                  <c:v>1.989012573895595E-2</c:v>
                </c:pt>
                <c:pt idx="19">
                  <c:v>2.0214860800385703E-2</c:v>
                </c:pt>
                <c:pt idx="20">
                  <c:v>2.0458414499866247E-2</c:v>
                </c:pt>
                <c:pt idx="21">
                  <c:v>2.0661373672919019E-2</c:v>
                </c:pt>
                <c:pt idx="22">
                  <c:v>2.0661373672919019E-2</c:v>
                </c:pt>
                <c:pt idx="23">
                  <c:v>2.0701966276620208E-2</c:v>
                </c:pt>
                <c:pt idx="24">
                  <c:v>2.0823742164997192E-2</c:v>
                </c:pt>
                <c:pt idx="25">
                  <c:v>2.0864334768698378E-2</c:v>
                </c:pt>
                <c:pt idx="26">
                  <c:v>2.0945519976100755E-2</c:v>
                </c:pt>
                <c:pt idx="27">
                  <c:v>2.1148479149153524E-2</c:v>
                </c:pt>
                <c:pt idx="28">
                  <c:v>2.1392032848634075E-2</c:v>
                </c:pt>
                <c:pt idx="29">
                  <c:v>2.155440134071224E-2</c:v>
                </c:pt>
                <c:pt idx="30">
                  <c:v>2.1797953117466198E-2</c:v>
                </c:pt>
                <c:pt idx="31">
                  <c:v>2.2203875309024918E-2</c:v>
                </c:pt>
                <c:pt idx="32">
                  <c:v>2.2452046914276436E-2</c:v>
                </c:pt>
                <c:pt idx="33">
                  <c:v>2.276226142084083E-2</c:v>
                </c:pt>
                <c:pt idx="34">
                  <c:v>2.276226142084083E-2</c:v>
                </c:pt>
                <c:pt idx="35">
                  <c:v>2.276226142084083E-2</c:v>
                </c:pt>
                <c:pt idx="36">
                  <c:v>2.276226142084083E-2</c:v>
                </c:pt>
                <c:pt idx="37">
                  <c:v>2.276226142084083E-2</c:v>
                </c:pt>
                <c:pt idx="38">
                  <c:v>2.276226142084083E-2</c:v>
                </c:pt>
                <c:pt idx="39">
                  <c:v>2.276226142084083E-2</c:v>
                </c:pt>
                <c:pt idx="40">
                  <c:v>2.276226142084083E-2</c:v>
                </c:pt>
                <c:pt idx="41">
                  <c:v>2.276226142084083E-2</c:v>
                </c:pt>
                <c:pt idx="42">
                  <c:v>2.3134518828718108E-2</c:v>
                </c:pt>
                <c:pt idx="43">
                  <c:v>2.3941076545785533E-2</c:v>
                </c:pt>
                <c:pt idx="44">
                  <c:v>2.49337629667916E-2</c:v>
                </c:pt>
                <c:pt idx="45">
                  <c:v>2.7911822229809799E-2</c:v>
                </c:pt>
                <c:pt idx="46">
                  <c:v>3.0703752788889357E-2</c:v>
                </c:pt>
                <c:pt idx="47">
                  <c:v>3.5170841683416651E-2</c:v>
                </c:pt>
                <c:pt idx="48">
                  <c:v>5.4528226893034944E-2</c:v>
                </c:pt>
                <c:pt idx="49">
                  <c:v>8.1020545753634321E-2</c:v>
                </c:pt>
                <c:pt idx="50">
                  <c:v>0.1227133754358891</c:v>
                </c:pt>
                <c:pt idx="51">
                  <c:v>0.19046422366955312</c:v>
                </c:pt>
                <c:pt idx="52">
                  <c:v>0.2615033456727997</c:v>
                </c:pt>
                <c:pt idx="53">
                  <c:v>0.33595482724825465</c:v>
                </c:pt>
                <c:pt idx="54">
                  <c:v>0.3876986069431958</c:v>
                </c:pt>
                <c:pt idx="55">
                  <c:v>0.41667264185631042</c:v>
                </c:pt>
                <c:pt idx="56">
                  <c:v>0.44341313232216129</c:v>
                </c:pt>
                <c:pt idx="57">
                  <c:v>0.46767190673549702</c:v>
                </c:pt>
                <c:pt idx="58">
                  <c:v>0.4906898231225752</c:v>
                </c:pt>
                <c:pt idx="59">
                  <c:v>0.51240483858208286</c:v>
                </c:pt>
                <c:pt idx="60">
                  <c:v>0.53021115125887919</c:v>
                </c:pt>
                <c:pt idx="61">
                  <c:v>0.54739703492254677</c:v>
                </c:pt>
                <c:pt idx="62">
                  <c:v>0.5635902321652082</c:v>
                </c:pt>
                <c:pt idx="63">
                  <c:v>0.5810863303354401</c:v>
                </c:pt>
                <c:pt idx="64">
                  <c:v>0.5957284550452796</c:v>
                </c:pt>
                <c:pt idx="65">
                  <c:v>0.61161143778137661</c:v>
                </c:pt>
                <c:pt idx="66">
                  <c:v>0.62730829181353509</c:v>
                </c:pt>
                <c:pt idx="67">
                  <c:v>0.64139203041155857</c:v>
                </c:pt>
                <c:pt idx="68">
                  <c:v>0.65516555450301772</c:v>
                </c:pt>
                <c:pt idx="69">
                  <c:v>0.66831864958134823</c:v>
                </c:pt>
                <c:pt idx="70">
                  <c:v>0.68165787336361716</c:v>
                </c:pt>
                <c:pt idx="71">
                  <c:v>0.69561752615901495</c:v>
                </c:pt>
                <c:pt idx="72">
                  <c:v>0.70846040673078103</c:v>
                </c:pt>
                <c:pt idx="73">
                  <c:v>0.72031060088154086</c:v>
                </c:pt>
                <c:pt idx="74">
                  <c:v>0.73240896663755228</c:v>
                </c:pt>
                <c:pt idx="75">
                  <c:v>0.74432120368962507</c:v>
                </c:pt>
                <c:pt idx="76">
                  <c:v>0.75586118333382069</c:v>
                </c:pt>
                <c:pt idx="77">
                  <c:v>0.76690481976751301</c:v>
                </c:pt>
                <c:pt idx="78">
                  <c:v>0.77751415589201545</c:v>
                </c:pt>
                <c:pt idx="79">
                  <c:v>0.78830962072045629</c:v>
                </c:pt>
                <c:pt idx="80">
                  <c:v>0.79842261363445577</c:v>
                </c:pt>
                <c:pt idx="81">
                  <c:v>0.80803926333795195</c:v>
                </c:pt>
                <c:pt idx="82">
                  <c:v>0.81796612754801257</c:v>
                </c:pt>
                <c:pt idx="83">
                  <c:v>0.82752073435019602</c:v>
                </c:pt>
                <c:pt idx="84">
                  <c:v>0.83645491213925061</c:v>
                </c:pt>
                <c:pt idx="85">
                  <c:v>0.84582339023749531</c:v>
                </c:pt>
                <c:pt idx="86">
                  <c:v>0.85469552512523705</c:v>
                </c:pt>
                <c:pt idx="87">
                  <c:v>0.86350561711166596</c:v>
                </c:pt>
                <c:pt idx="88">
                  <c:v>0.87219162329546907</c:v>
                </c:pt>
                <c:pt idx="89">
                  <c:v>0.88093967238058501</c:v>
                </c:pt>
                <c:pt idx="90">
                  <c:v>0.88925342115651074</c:v>
                </c:pt>
                <c:pt idx="91">
                  <c:v>0.89744308412981078</c:v>
                </c:pt>
                <c:pt idx="92">
                  <c:v>0.90532253259654638</c:v>
                </c:pt>
                <c:pt idx="93">
                  <c:v>0.91332606686590778</c:v>
                </c:pt>
                <c:pt idx="94">
                  <c:v>0.92077121502345327</c:v>
                </c:pt>
                <c:pt idx="95">
                  <c:v>0.92747184836524432</c:v>
                </c:pt>
                <c:pt idx="96">
                  <c:v>0.93454473911491243</c:v>
                </c:pt>
                <c:pt idx="97">
                  <c:v>0.94093515795013893</c:v>
                </c:pt>
                <c:pt idx="98">
                  <c:v>0.94695331937748828</c:v>
                </c:pt>
                <c:pt idx="99">
                  <c:v>0.95259922339696035</c:v>
                </c:pt>
                <c:pt idx="100">
                  <c:v>0.95787287000855503</c:v>
                </c:pt>
                <c:pt idx="101">
                  <c:v>0.96308447371883688</c:v>
                </c:pt>
                <c:pt idx="102">
                  <c:v>0.96823403452780576</c:v>
                </c:pt>
                <c:pt idx="103">
                  <c:v>0.97263908052102033</c:v>
                </c:pt>
                <c:pt idx="104">
                  <c:v>0.97654778330373171</c:v>
                </c:pt>
                <c:pt idx="105">
                  <c:v>0.98008422867856582</c:v>
                </c:pt>
                <c:pt idx="106">
                  <c:v>0.9831863737442097</c:v>
                </c:pt>
                <c:pt idx="107">
                  <c:v>0.98610239010591505</c:v>
                </c:pt>
                <c:pt idx="108">
                  <c:v>0.98877023486236892</c:v>
                </c:pt>
                <c:pt idx="109">
                  <c:v>0.99125195091488405</c:v>
                </c:pt>
                <c:pt idx="110">
                  <c:v>0.99329936665820895</c:v>
                </c:pt>
                <c:pt idx="111">
                  <c:v>0.99509861079628259</c:v>
                </c:pt>
                <c:pt idx="112">
                  <c:v>0.99714602653960749</c:v>
                </c:pt>
                <c:pt idx="113">
                  <c:v>0.99714602653960749</c:v>
                </c:pt>
                <c:pt idx="114">
                  <c:v>0.99844892746717795</c:v>
                </c:pt>
                <c:pt idx="115">
                  <c:v>0.99925548518424534</c:v>
                </c:pt>
                <c:pt idx="116">
                  <c:v>0.99962774259212261</c:v>
                </c:pt>
                <c:pt idx="117">
                  <c:v>0.99962774259212261</c:v>
                </c:pt>
                <c:pt idx="118">
                  <c:v>1</c:v>
                </c:pt>
              </c:numCache>
            </c:numRef>
          </c:xVal>
          <c:yVal>
            <c:numRef>
              <c:f>Table!$E$18:$E$136</c:f>
              <c:numCache>
                <c:formatCode>???0.000</c:formatCode>
                <c:ptCount val="119"/>
                <c:pt idx="0">
                  <c:v>60.781227612652074</c:v>
                </c:pt>
                <c:pt idx="1">
                  <c:v>57.320493578951428</c:v>
                </c:pt>
                <c:pt idx="2">
                  <c:v>50.72688244685839</c:v>
                </c:pt>
                <c:pt idx="3">
                  <c:v>45.611810274568903</c:v>
                </c:pt>
                <c:pt idx="4">
                  <c:v>42.3386104707592</c:v>
                </c:pt>
                <c:pt idx="5">
                  <c:v>38.870150903397715</c:v>
                </c:pt>
                <c:pt idx="6">
                  <c:v>35.575738042982351</c:v>
                </c:pt>
                <c:pt idx="7">
                  <c:v>32.596482624887393</c:v>
                </c:pt>
                <c:pt idx="8">
                  <c:v>29.749822648243253</c:v>
                </c:pt>
                <c:pt idx="9">
                  <c:v>27.064754655162208</c:v>
                </c:pt>
                <c:pt idx="10">
                  <c:v>24.825340863813718</c:v>
                </c:pt>
                <c:pt idx="11">
                  <c:v>22.693604123131678</c:v>
                </c:pt>
                <c:pt idx="12">
                  <c:v>20.73829897990797</c:v>
                </c:pt>
                <c:pt idx="13">
                  <c:v>19.013788335691476</c:v>
                </c:pt>
                <c:pt idx="14">
                  <c:v>17.417575057875254</c:v>
                </c:pt>
                <c:pt idx="15">
                  <c:v>15.9013750890014</c:v>
                </c:pt>
                <c:pt idx="16">
                  <c:v>14.536109980668321</c:v>
                </c:pt>
                <c:pt idx="17">
                  <c:v>13.29510776441483</c:v>
                </c:pt>
                <c:pt idx="18">
                  <c:v>12.152042033890256</c:v>
                </c:pt>
                <c:pt idx="19">
                  <c:v>11.11003736630634</c:v>
                </c:pt>
                <c:pt idx="20">
                  <c:v>10.154262525168045</c:v>
                </c:pt>
                <c:pt idx="21">
                  <c:v>9.2790059501843363</c:v>
                </c:pt>
                <c:pt idx="22">
                  <c:v>8.5004953250436532</c:v>
                </c:pt>
                <c:pt idx="23">
                  <c:v>7.712924101223587</c:v>
                </c:pt>
                <c:pt idx="24">
                  <c:v>7.1138420144988572</c:v>
                </c:pt>
                <c:pt idx="25">
                  <c:v>6.4616072407950744</c:v>
                </c:pt>
                <c:pt idx="26">
                  <c:v>5.9214528109136548</c:v>
                </c:pt>
                <c:pt idx="27">
                  <c:v>5.4321437159433748</c:v>
                </c:pt>
                <c:pt idx="28">
                  <c:v>4.9617823536244359</c:v>
                </c:pt>
                <c:pt idx="29">
                  <c:v>4.5224574755300599</c:v>
                </c:pt>
                <c:pt idx="30">
                  <c:v>4.1369176090836763</c:v>
                </c:pt>
                <c:pt idx="31">
                  <c:v>3.7708526855820943</c:v>
                </c:pt>
                <c:pt idx="32">
                  <c:v>3.4455595279579638</c:v>
                </c:pt>
                <c:pt idx="33">
                  <c:v>3.1605303671942795</c:v>
                </c:pt>
                <c:pt idx="34">
                  <c:v>2.8006393563952687</c:v>
                </c:pt>
                <c:pt idx="35">
                  <c:v>2.6480952990121005</c:v>
                </c:pt>
                <c:pt idx="36">
                  <c:v>2.5201328506264602</c:v>
                </c:pt>
                <c:pt idx="37">
                  <c:v>2.2454192891690483</c:v>
                </c:pt>
                <c:pt idx="38">
                  <c:v>1.9211640472936993</c:v>
                </c:pt>
                <c:pt idx="39">
                  <c:v>1.7613804675158775</c:v>
                </c:pt>
                <c:pt idx="40">
                  <c:v>1.6621443876453206</c:v>
                </c:pt>
                <c:pt idx="41">
                  <c:v>1.5549136622239028</c:v>
                </c:pt>
                <c:pt idx="42">
                  <c:v>1.4010936311609772</c:v>
                </c:pt>
                <c:pt idx="43">
                  <c:v>1.2642401352195329</c:v>
                </c:pt>
                <c:pt idx="44">
                  <c:v>1.174689818577251</c:v>
                </c:pt>
                <c:pt idx="45">
                  <c:v>1.0531833816056324</c:v>
                </c:pt>
                <c:pt idx="46">
                  <c:v>0.97905757462097742</c:v>
                </c:pt>
                <c:pt idx="47">
                  <c:v>0.90615754255076608</c:v>
                </c:pt>
                <c:pt idx="48">
                  <c:v>0.81831318847205115</c:v>
                </c:pt>
                <c:pt idx="49">
                  <c:v>0.75466816358896105</c:v>
                </c:pt>
                <c:pt idx="50">
                  <c:v>0.69255853256923194</c:v>
                </c:pt>
                <c:pt idx="51">
                  <c:v>0.62732918316557817</c:v>
                </c:pt>
                <c:pt idx="52">
                  <c:v>0.57505351292180329</c:v>
                </c:pt>
                <c:pt idx="53">
                  <c:v>0.52792246974804169</c:v>
                </c:pt>
                <c:pt idx="54">
                  <c:v>0.48103280839774931</c:v>
                </c:pt>
                <c:pt idx="55">
                  <c:v>0.44178883451363099</c:v>
                </c:pt>
                <c:pt idx="56">
                  <c:v>0.40303466038234703</c:v>
                </c:pt>
                <c:pt idx="57">
                  <c:v>0.36723022475316891</c:v>
                </c:pt>
                <c:pt idx="58">
                  <c:v>0.33626571086909268</c:v>
                </c:pt>
                <c:pt idx="59">
                  <c:v>0.30715813343596565</c:v>
                </c:pt>
                <c:pt idx="60">
                  <c:v>0.28067539140354086</c:v>
                </c:pt>
                <c:pt idx="61">
                  <c:v>0.25678208591843094</c:v>
                </c:pt>
                <c:pt idx="62">
                  <c:v>0.23433119775872135</c:v>
                </c:pt>
                <c:pt idx="63">
                  <c:v>0.21366741444796339</c:v>
                </c:pt>
                <c:pt idx="64">
                  <c:v>0.1955998815708456</c:v>
                </c:pt>
                <c:pt idx="65">
                  <c:v>0.17873031528944253</c:v>
                </c:pt>
                <c:pt idx="66">
                  <c:v>0.16317484838806767</c:v>
                </c:pt>
                <c:pt idx="67">
                  <c:v>0.14947375976878308</c:v>
                </c:pt>
                <c:pt idx="68">
                  <c:v>0.13639406027617443</c:v>
                </c:pt>
                <c:pt idx="69">
                  <c:v>0.12464712724794688</c:v>
                </c:pt>
                <c:pt idx="70">
                  <c:v>0.1137879620370409</c:v>
                </c:pt>
                <c:pt idx="71">
                  <c:v>0.10386478218632443</c:v>
                </c:pt>
                <c:pt idx="72">
                  <c:v>9.5109738703247196E-2</c:v>
                </c:pt>
                <c:pt idx="73">
                  <c:v>8.7318737828864526E-2</c:v>
                </c:pt>
                <c:pt idx="74">
                  <c:v>7.9837744421990001E-2</c:v>
                </c:pt>
                <c:pt idx="75">
                  <c:v>7.2852851133149057E-2</c:v>
                </c:pt>
                <c:pt idx="76">
                  <c:v>6.6518115246436929E-2</c:v>
                </c:pt>
                <c:pt idx="77">
                  <c:v>6.0731243272834495E-2</c:v>
                </c:pt>
                <c:pt idx="78">
                  <c:v>5.5614429715942312E-2</c:v>
                </c:pt>
                <c:pt idx="79">
                  <c:v>5.0623733527062904E-2</c:v>
                </c:pt>
                <c:pt idx="80">
                  <c:v>4.6333623787687614E-2</c:v>
                </c:pt>
                <c:pt idx="81">
                  <c:v>4.2470001780195409E-2</c:v>
                </c:pt>
                <c:pt idx="82">
                  <c:v>3.871416060792289E-2</c:v>
                </c:pt>
                <c:pt idx="83">
                  <c:v>3.5415551936998836E-2</c:v>
                </c:pt>
                <c:pt idx="84">
                  <c:v>3.2402752422445523E-2</c:v>
                </c:pt>
                <c:pt idx="85">
                  <c:v>2.9586381602711192E-2</c:v>
                </c:pt>
                <c:pt idx="86">
                  <c:v>2.7048332855144224E-2</c:v>
                </c:pt>
                <c:pt idx="87">
                  <c:v>2.4720161185518869E-2</c:v>
                </c:pt>
                <c:pt idx="88">
                  <c:v>2.2585783936607231E-2</c:v>
                </c:pt>
                <c:pt idx="89">
                  <c:v>2.0659486436441714E-2</c:v>
                </c:pt>
                <c:pt idx="90">
                  <c:v>1.8911496575666799E-2</c:v>
                </c:pt>
                <c:pt idx="91">
                  <c:v>1.7272712556953514E-2</c:v>
                </c:pt>
                <c:pt idx="92">
                  <c:v>1.5785242775290125E-2</c:v>
                </c:pt>
                <c:pt idx="93">
                  <c:v>1.4419741129596876E-2</c:v>
                </c:pt>
                <c:pt idx="94">
                  <c:v>1.3193785885110929E-2</c:v>
                </c:pt>
                <c:pt idx="95">
                  <c:v>1.2050698074801346E-2</c:v>
                </c:pt>
                <c:pt idx="96">
                  <c:v>1.1020789570835743E-2</c:v>
                </c:pt>
                <c:pt idx="97">
                  <c:v>1.0076499886847135E-2</c:v>
                </c:pt>
                <c:pt idx="98">
                  <c:v>9.2052429938613463E-3</c:v>
                </c:pt>
                <c:pt idx="99">
                  <c:v>8.4120244390241058E-3</c:v>
                </c:pt>
                <c:pt idx="100">
                  <c:v>7.7045725885897167E-3</c:v>
                </c:pt>
                <c:pt idx="101">
                  <c:v>7.05238737283574E-3</c:v>
                </c:pt>
                <c:pt idx="102">
                  <c:v>6.4113563734750348E-3</c:v>
                </c:pt>
                <c:pt idx="103">
                  <c:v>5.8770842032862597E-3</c:v>
                </c:pt>
                <c:pt idx="104">
                  <c:v>5.3614529456814967E-3</c:v>
                </c:pt>
                <c:pt idx="105">
                  <c:v>4.9027947220928268E-3</c:v>
                </c:pt>
                <c:pt idx="106">
                  <c:v>4.4945487441561179E-3</c:v>
                </c:pt>
                <c:pt idx="107">
                  <c:v>4.1111506791425712E-3</c:v>
                </c:pt>
                <c:pt idx="108">
                  <c:v>3.7571375877605384E-3</c:v>
                </c:pt>
                <c:pt idx="109">
                  <c:v>3.4332981221523017E-3</c:v>
                </c:pt>
                <c:pt idx="110">
                  <c:v>3.128666279430909E-3</c:v>
                </c:pt>
                <c:pt idx="111">
                  <c:v>2.8651137897615611E-3</c:v>
                </c:pt>
                <c:pt idx="112">
                  <c:v>2.6197239706440847E-3</c:v>
                </c:pt>
                <c:pt idx="113">
                  <c:v>2.3942308576333027E-3</c:v>
                </c:pt>
                <c:pt idx="114">
                  <c:v>2.1886150302689316E-3</c:v>
                </c:pt>
                <c:pt idx="115">
                  <c:v>2.0022955203437853E-3</c:v>
                </c:pt>
                <c:pt idx="116">
                  <c:v>1.8304365610705827E-3</c:v>
                </c:pt>
                <c:pt idx="117">
                  <c:v>1.6736473112876713E-3</c:v>
                </c:pt>
                <c:pt idx="118">
                  <c:v>1.5420754446136646E-3</c:v>
                </c:pt>
              </c:numCache>
            </c:numRef>
          </c:yVal>
          <c:smooth val="0"/>
        </c:ser>
        <c:ser>
          <c:idx val="0"/>
          <c:order val="1"/>
          <c:tx>
            <c:v>Conformance Corrected</c:v>
          </c:tx>
          <c:spPr>
            <a:ln w="12700">
              <a:solidFill>
                <a:srgbClr val="0000FF"/>
              </a:solidFill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</a:ln>
            </c:spPr>
          </c:marker>
          <c:xVal>
            <c:numRef>
              <c:f>Table!$B$18:$B$136</c:f>
              <c:numCache>
                <c:formatCode>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2.5380710659898478E-4</c:v>
                </c:pt>
                <c:pt idx="33">
                  <c:v>5.7106598984771567E-4</c:v>
                </c:pt>
                <c:pt idx="34">
                  <c:v>5.7106598984771567E-4</c:v>
                </c:pt>
                <c:pt idx="35">
                  <c:v>5.7106598984771567E-4</c:v>
                </c:pt>
                <c:pt idx="36">
                  <c:v>5.7106598984771567E-4</c:v>
                </c:pt>
                <c:pt idx="37">
                  <c:v>5.7106598984771567E-4</c:v>
                </c:pt>
                <c:pt idx="38">
                  <c:v>5.7106598984771567E-4</c:v>
                </c:pt>
                <c:pt idx="39">
                  <c:v>5.7106598984771567E-4</c:v>
                </c:pt>
                <c:pt idx="40">
                  <c:v>5.7106598984771567E-4</c:v>
                </c:pt>
                <c:pt idx="41">
                  <c:v>5.7106598984771567E-4</c:v>
                </c:pt>
                <c:pt idx="42">
                  <c:v>9.5177664974619282E-4</c:v>
                </c:pt>
                <c:pt idx="43">
                  <c:v>1.7766497461928932E-3</c:v>
                </c:pt>
                <c:pt idx="44">
                  <c:v>2.7918781725888324E-3</c:v>
                </c:pt>
                <c:pt idx="45">
                  <c:v>5.8375634517766496E-3</c:v>
                </c:pt>
                <c:pt idx="46">
                  <c:v>8.6928934010152281E-3</c:v>
                </c:pt>
                <c:pt idx="47">
                  <c:v>1.3261421319796953E-2</c:v>
                </c:pt>
                <c:pt idx="48">
                  <c:v>3.3058375634517766E-2</c:v>
                </c:pt>
                <c:pt idx="49">
                  <c:v>6.0152284263959382E-2</c:v>
                </c:pt>
                <c:pt idx="50">
                  <c:v>0.10279187817258884</c:v>
                </c:pt>
                <c:pt idx="51">
                  <c:v>0.17208121827411166</c:v>
                </c:pt>
                <c:pt idx="52">
                  <c:v>0.24473350253807105</c:v>
                </c:pt>
                <c:pt idx="53">
                  <c:v>0.32087563451776652</c:v>
                </c:pt>
                <c:pt idx="54">
                  <c:v>0.37379441624365478</c:v>
                </c:pt>
                <c:pt idx="55">
                  <c:v>0.4034263959390863</c:v>
                </c:pt>
                <c:pt idx="56">
                  <c:v>0.43077411167512686</c:v>
                </c:pt>
                <c:pt idx="57">
                  <c:v>0.45558375634517762</c:v>
                </c:pt>
                <c:pt idx="58">
                  <c:v>0.47912436548223347</c:v>
                </c:pt>
                <c:pt idx="59">
                  <c:v>0.50133248730964464</c:v>
                </c:pt>
                <c:pt idx="60">
                  <c:v>0.51954314720812178</c:v>
                </c:pt>
                <c:pt idx="61">
                  <c:v>0.53711928934010156</c:v>
                </c:pt>
                <c:pt idx="62">
                  <c:v>0.55368020304568533</c:v>
                </c:pt>
                <c:pt idx="63">
                  <c:v>0.57157360406091373</c:v>
                </c:pt>
                <c:pt idx="64">
                  <c:v>0.58654822335025381</c:v>
                </c:pt>
                <c:pt idx="65">
                  <c:v>0.60279187817258872</c:v>
                </c:pt>
                <c:pt idx="66">
                  <c:v>0.6188451776649746</c:v>
                </c:pt>
                <c:pt idx="67">
                  <c:v>0.63324873096446699</c:v>
                </c:pt>
                <c:pt idx="68">
                  <c:v>0.64733502538071064</c:v>
                </c:pt>
                <c:pt idx="69">
                  <c:v>0.66078680203045692</c:v>
                </c:pt>
                <c:pt idx="70">
                  <c:v>0.67442893401015225</c:v>
                </c:pt>
                <c:pt idx="71">
                  <c:v>0.68870558375634505</c:v>
                </c:pt>
                <c:pt idx="72">
                  <c:v>0.70184010152284271</c:v>
                </c:pt>
                <c:pt idx="73">
                  <c:v>0.71395939086294413</c:v>
                </c:pt>
                <c:pt idx="74">
                  <c:v>0.72633248730964473</c:v>
                </c:pt>
                <c:pt idx="75">
                  <c:v>0.73851522842639583</c:v>
                </c:pt>
                <c:pt idx="76">
                  <c:v>0.75031725888324874</c:v>
                </c:pt>
                <c:pt idx="77">
                  <c:v>0.76161167512690342</c:v>
                </c:pt>
                <c:pt idx="78">
                  <c:v>0.77246192893401011</c:v>
                </c:pt>
                <c:pt idx="79">
                  <c:v>0.78350253807106585</c:v>
                </c:pt>
                <c:pt idx="80">
                  <c:v>0.79384517766497464</c:v>
                </c:pt>
                <c:pt idx="81">
                  <c:v>0.80368020304568522</c:v>
                </c:pt>
                <c:pt idx="82">
                  <c:v>0.81383248730964464</c:v>
                </c:pt>
                <c:pt idx="83">
                  <c:v>0.82360406091370553</c:v>
                </c:pt>
                <c:pt idx="84">
                  <c:v>0.83274111675126905</c:v>
                </c:pt>
                <c:pt idx="85">
                  <c:v>0.84232233502538056</c:v>
                </c:pt>
                <c:pt idx="86">
                  <c:v>0.85139593908629441</c:v>
                </c:pt>
                <c:pt idx="87">
                  <c:v>0.86040609137055835</c:v>
                </c:pt>
                <c:pt idx="88">
                  <c:v>0.86928934010152292</c:v>
                </c:pt>
                <c:pt idx="89">
                  <c:v>0.87823604060913707</c:v>
                </c:pt>
                <c:pt idx="90">
                  <c:v>0.886738578680203</c:v>
                </c:pt>
                <c:pt idx="91">
                  <c:v>0.89511421319796958</c:v>
                </c:pt>
                <c:pt idx="92">
                  <c:v>0.9031725888324873</c:v>
                </c:pt>
                <c:pt idx="93">
                  <c:v>0.9113578680203045</c:v>
                </c:pt>
                <c:pt idx="94">
                  <c:v>0.91897208121827401</c:v>
                </c:pt>
                <c:pt idx="95">
                  <c:v>0.92582487309644668</c:v>
                </c:pt>
                <c:pt idx="96">
                  <c:v>0.93305837563451766</c:v>
                </c:pt>
                <c:pt idx="97">
                  <c:v>0.93959390862944148</c:v>
                </c:pt>
                <c:pt idx="98">
                  <c:v>0.94574873096446688</c:v>
                </c:pt>
                <c:pt idx="99">
                  <c:v>0.95152284263959386</c:v>
                </c:pt>
                <c:pt idx="100">
                  <c:v>0.95691624365482231</c:v>
                </c:pt>
                <c:pt idx="101">
                  <c:v>0.96224619289340096</c:v>
                </c:pt>
                <c:pt idx="102">
                  <c:v>0.96751269035532983</c:v>
                </c:pt>
                <c:pt idx="103">
                  <c:v>0.97201776649746197</c:v>
                </c:pt>
                <c:pt idx="104">
                  <c:v>0.97601522842639588</c:v>
                </c:pt>
                <c:pt idx="105">
                  <c:v>0.97963197969543148</c:v>
                </c:pt>
                <c:pt idx="106">
                  <c:v>0.98280456852791875</c:v>
                </c:pt>
                <c:pt idx="107">
                  <c:v>0.98578680203045688</c:v>
                </c:pt>
                <c:pt idx="108">
                  <c:v>0.98851522842639594</c:v>
                </c:pt>
                <c:pt idx="109">
                  <c:v>0.99105329949238574</c:v>
                </c:pt>
                <c:pt idx="110">
                  <c:v>0.99314720812182733</c:v>
                </c:pt>
                <c:pt idx="111">
                  <c:v>0.99498730964467008</c:v>
                </c:pt>
                <c:pt idx="112">
                  <c:v>0.99708121827411156</c:v>
                </c:pt>
                <c:pt idx="113">
                  <c:v>0.99708121827411156</c:v>
                </c:pt>
                <c:pt idx="114">
                  <c:v>0.99841370558375619</c:v>
                </c:pt>
                <c:pt idx="115">
                  <c:v>0.99923857868020294</c:v>
                </c:pt>
                <c:pt idx="116">
                  <c:v>0.99961928934010147</c:v>
                </c:pt>
                <c:pt idx="117">
                  <c:v>0.99961928934010147</c:v>
                </c:pt>
                <c:pt idx="118">
                  <c:v>1</c:v>
                </c:pt>
              </c:numCache>
            </c:numRef>
          </c:xVal>
          <c:yVal>
            <c:numRef>
              <c:f>Table!$E$18:$E$136</c:f>
              <c:numCache>
                <c:formatCode>???0.000</c:formatCode>
                <c:ptCount val="119"/>
                <c:pt idx="0">
                  <c:v>60.781227612652074</c:v>
                </c:pt>
                <c:pt idx="1">
                  <c:v>57.320493578951428</c:v>
                </c:pt>
                <c:pt idx="2">
                  <c:v>50.72688244685839</c:v>
                </c:pt>
                <c:pt idx="3">
                  <c:v>45.611810274568903</c:v>
                </c:pt>
                <c:pt idx="4">
                  <c:v>42.3386104707592</c:v>
                </c:pt>
                <c:pt idx="5">
                  <c:v>38.870150903397715</c:v>
                </c:pt>
                <c:pt idx="6">
                  <c:v>35.575738042982351</c:v>
                </c:pt>
                <c:pt idx="7">
                  <c:v>32.596482624887393</c:v>
                </c:pt>
                <c:pt idx="8">
                  <c:v>29.749822648243253</c:v>
                </c:pt>
                <c:pt idx="9">
                  <c:v>27.064754655162208</c:v>
                </c:pt>
                <c:pt idx="10">
                  <c:v>24.825340863813718</c:v>
                </c:pt>
                <c:pt idx="11">
                  <c:v>22.693604123131678</c:v>
                </c:pt>
                <c:pt idx="12">
                  <c:v>20.73829897990797</c:v>
                </c:pt>
                <c:pt idx="13">
                  <c:v>19.013788335691476</c:v>
                </c:pt>
                <c:pt idx="14">
                  <c:v>17.417575057875254</c:v>
                </c:pt>
                <c:pt idx="15">
                  <c:v>15.9013750890014</c:v>
                </c:pt>
                <c:pt idx="16">
                  <c:v>14.536109980668321</c:v>
                </c:pt>
                <c:pt idx="17">
                  <c:v>13.29510776441483</c:v>
                </c:pt>
                <c:pt idx="18">
                  <c:v>12.152042033890256</c:v>
                </c:pt>
                <c:pt idx="19">
                  <c:v>11.11003736630634</c:v>
                </c:pt>
                <c:pt idx="20">
                  <c:v>10.154262525168045</c:v>
                </c:pt>
                <c:pt idx="21">
                  <c:v>9.2790059501843363</c:v>
                </c:pt>
                <c:pt idx="22">
                  <c:v>8.5004953250436532</c:v>
                </c:pt>
                <c:pt idx="23">
                  <c:v>7.712924101223587</c:v>
                </c:pt>
                <c:pt idx="24">
                  <c:v>7.1138420144988572</c:v>
                </c:pt>
                <c:pt idx="25">
                  <c:v>6.4616072407950744</c:v>
                </c:pt>
                <c:pt idx="26">
                  <c:v>5.9214528109136548</c:v>
                </c:pt>
                <c:pt idx="27">
                  <c:v>5.4321437159433748</c:v>
                </c:pt>
                <c:pt idx="28">
                  <c:v>4.9617823536244359</c:v>
                </c:pt>
                <c:pt idx="29">
                  <c:v>4.5224574755300599</c:v>
                </c:pt>
                <c:pt idx="30">
                  <c:v>4.1369176090836763</c:v>
                </c:pt>
                <c:pt idx="31">
                  <c:v>3.7708526855820943</c:v>
                </c:pt>
                <c:pt idx="32">
                  <c:v>3.4455595279579638</c:v>
                </c:pt>
                <c:pt idx="33">
                  <c:v>3.1605303671942795</c:v>
                </c:pt>
                <c:pt idx="34">
                  <c:v>2.8006393563952687</c:v>
                </c:pt>
                <c:pt idx="35">
                  <c:v>2.6480952990121005</c:v>
                </c:pt>
                <c:pt idx="36">
                  <c:v>2.5201328506264602</c:v>
                </c:pt>
                <c:pt idx="37">
                  <c:v>2.2454192891690483</c:v>
                </c:pt>
                <c:pt idx="38">
                  <c:v>1.9211640472936993</c:v>
                </c:pt>
                <c:pt idx="39">
                  <c:v>1.7613804675158775</c:v>
                </c:pt>
                <c:pt idx="40">
                  <c:v>1.6621443876453206</c:v>
                </c:pt>
                <c:pt idx="41">
                  <c:v>1.5549136622239028</c:v>
                </c:pt>
                <c:pt idx="42">
                  <c:v>1.4010936311609772</c:v>
                </c:pt>
                <c:pt idx="43">
                  <c:v>1.2642401352195329</c:v>
                </c:pt>
                <c:pt idx="44">
                  <c:v>1.174689818577251</c:v>
                </c:pt>
                <c:pt idx="45">
                  <c:v>1.0531833816056324</c:v>
                </c:pt>
                <c:pt idx="46">
                  <c:v>0.97905757462097742</c:v>
                </c:pt>
                <c:pt idx="47">
                  <c:v>0.90615754255076608</c:v>
                </c:pt>
                <c:pt idx="48">
                  <c:v>0.81831318847205115</c:v>
                </c:pt>
                <c:pt idx="49">
                  <c:v>0.75466816358896105</c:v>
                </c:pt>
                <c:pt idx="50">
                  <c:v>0.69255853256923194</c:v>
                </c:pt>
                <c:pt idx="51">
                  <c:v>0.62732918316557817</c:v>
                </c:pt>
                <c:pt idx="52">
                  <c:v>0.57505351292180329</c:v>
                </c:pt>
                <c:pt idx="53">
                  <c:v>0.52792246974804169</c:v>
                </c:pt>
                <c:pt idx="54">
                  <c:v>0.48103280839774931</c:v>
                </c:pt>
                <c:pt idx="55">
                  <c:v>0.44178883451363099</c:v>
                </c:pt>
                <c:pt idx="56">
                  <c:v>0.40303466038234703</c:v>
                </c:pt>
                <c:pt idx="57">
                  <c:v>0.36723022475316891</c:v>
                </c:pt>
                <c:pt idx="58">
                  <c:v>0.33626571086909268</c:v>
                </c:pt>
                <c:pt idx="59">
                  <c:v>0.30715813343596565</c:v>
                </c:pt>
                <c:pt idx="60">
                  <c:v>0.28067539140354086</c:v>
                </c:pt>
                <c:pt idx="61">
                  <c:v>0.25678208591843094</c:v>
                </c:pt>
                <c:pt idx="62">
                  <c:v>0.23433119775872135</c:v>
                </c:pt>
                <c:pt idx="63">
                  <c:v>0.21366741444796339</c:v>
                </c:pt>
                <c:pt idx="64">
                  <c:v>0.1955998815708456</c:v>
                </c:pt>
                <c:pt idx="65">
                  <c:v>0.17873031528944253</c:v>
                </c:pt>
                <c:pt idx="66">
                  <c:v>0.16317484838806767</c:v>
                </c:pt>
                <c:pt idx="67">
                  <c:v>0.14947375976878308</c:v>
                </c:pt>
                <c:pt idx="68">
                  <c:v>0.13639406027617443</c:v>
                </c:pt>
                <c:pt idx="69">
                  <c:v>0.12464712724794688</c:v>
                </c:pt>
                <c:pt idx="70">
                  <c:v>0.1137879620370409</c:v>
                </c:pt>
                <c:pt idx="71">
                  <c:v>0.10386478218632443</c:v>
                </c:pt>
                <c:pt idx="72">
                  <c:v>9.5109738703247196E-2</c:v>
                </c:pt>
                <c:pt idx="73">
                  <c:v>8.7318737828864526E-2</c:v>
                </c:pt>
                <c:pt idx="74">
                  <c:v>7.9837744421990001E-2</c:v>
                </c:pt>
                <c:pt idx="75">
                  <c:v>7.2852851133149057E-2</c:v>
                </c:pt>
                <c:pt idx="76">
                  <c:v>6.6518115246436929E-2</c:v>
                </c:pt>
                <c:pt idx="77">
                  <c:v>6.0731243272834495E-2</c:v>
                </c:pt>
                <c:pt idx="78">
                  <c:v>5.5614429715942312E-2</c:v>
                </c:pt>
                <c:pt idx="79">
                  <c:v>5.0623733527062904E-2</c:v>
                </c:pt>
                <c:pt idx="80">
                  <c:v>4.6333623787687614E-2</c:v>
                </c:pt>
                <c:pt idx="81">
                  <c:v>4.2470001780195409E-2</c:v>
                </c:pt>
                <c:pt idx="82">
                  <c:v>3.871416060792289E-2</c:v>
                </c:pt>
                <c:pt idx="83">
                  <c:v>3.5415551936998836E-2</c:v>
                </c:pt>
                <c:pt idx="84">
                  <c:v>3.2402752422445523E-2</c:v>
                </c:pt>
                <c:pt idx="85">
                  <c:v>2.9586381602711192E-2</c:v>
                </c:pt>
                <c:pt idx="86">
                  <c:v>2.7048332855144224E-2</c:v>
                </c:pt>
                <c:pt idx="87">
                  <c:v>2.4720161185518869E-2</c:v>
                </c:pt>
                <c:pt idx="88">
                  <c:v>2.2585783936607231E-2</c:v>
                </c:pt>
                <c:pt idx="89">
                  <c:v>2.0659486436441714E-2</c:v>
                </c:pt>
                <c:pt idx="90">
                  <c:v>1.8911496575666799E-2</c:v>
                </c:pt>
                <c:pt idx="91">
                  <c:v>1.7272712556953514E-2</c:v>
                </c:pt>
                <c:pt idx="92">
                  <c:v>1.5785242775290125E-2</c:v>
                </c:pt>
                <c:pt idx="93">
                  <c:v>1.4419741129596876E-2</c:v>
                </c:pt>
                <c:pt idx="94">
                  <c:v>1.3193785885110929E-2</c:v>
                </c:pt>
                <c:pt idx="95">
                  <c:v>1.2050698074801346E-2</c:v>
                </c:pt>
                <c:pt idx="96">
                  <c:v>1.1020789570835743E-2</c:v>
                </c:pt>
                <c:pt idx="97">
                  <c:v>1.0076499886847135E-2</c:v>
                </c:pt>
                <c:pt idx="98">
                  <c:v>9.2052429938613463E-3</c:v>
                </c:pt>
                <c:pt idx="99">
                  <c:v>8.4120244390241058E-3</c:v>
                </c:pt>
                <c:pt idx="100">
                  <c:v>7.7045725885897167E-3</c:v>
                </c:pt>
                <c:pt idx="101">
                  <c:v>7.05238737283574E-3</c:v>
                </c:pt>
                <c:pt idx="102">
                  <c:v>6.4113563734750348E-3</c:v>
                </c:pt>
                <c:pt idx="103">
                  <c:v>5.8770842032862597E-3</c:v>
                </c:pt>
                <c:pt idx="104">
                  <c:v>5.3614529456814967E-3</c:v>
                </c:pt>
                <c:pt idx="105">
                  <c:v>4.9027947220928268E-3</c:v>
                </c:pt>
                <c:pt idx="106">
                  <c:v>4.4945487441561179E-3</c:v>
                </c:pt>
                <c:pt idx="107">
                  <c:v>4.1111506791425712E-3</c:v>
                </c:pt>
                <c:pt idx="108">
                  <c:v>3.7571375877605384E-3</c:v>
                </c:pt>
                <c:pt idx="109">
                  <c:v>3.4332981221523017E-3</c:v>
                </c:pt>
                <c:pt idx="110">
                  <c:v>3.128666279430909E-3</c:v>
                </c:pt>
                <c:pt idx="111">
                  <c:v>2.8651137897615611E-3</c:v>
                </c:pt>
                <c:pt idx="112">
                  <c:v>2.6197239706440847E-3</c:v>
                </c:pt>
                <c:pt idx="113">
                  <c:v>2.3942308576333027E-3</c:v>
                </c:pt>
                <c:pt idx="114">
                  <c:v>2.1886150302689316E-3</c:v>
                </c:pt>
                <c:pt idx="115">
                  <c:v>2.0022955203437853E-3</c:v>
                </c:pt>
                <c:pt idx="116">
                  <c:v>1.8304365610705827E-3</c:v>
                </c:pt>
                <c:pt idx="117">
                  <c:v>1.6736473112876713E-3</c:v>
                </c:pt>
                <c:pt idx="118">
                  <c:v>1.5420754446136646E-3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003392"/>
        <c:axId val="227087872"/>
      </c:scatterChart>
      <c:valAx>
        <c:axId val="227003392"/>
        <c:scaling>
          <c:orientation val="maxMin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575" b="0"/>
                  <a:t>Mercury Saturation, fraction pore space</a:t>
                </a:r>
              </a:p>
            </c:rich>
          </c:tx>
          <c:layout>
            <c:manualLayout>
              <c:xMode val="edge"/>
              <c:yMode val="edge"/>
              <c:x val="0.284037558685446"/>
              <c:y val="0.94071729288872463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75"/>
            </a:pPr>
            <a:endParaRPr lang="en-US"/>
          </a:p>
        </c:txPr>
        <c:crossAx val="227087872"/>
        <c:crossesAt val="1.0000000000000041E-3"/>
        <c:crossBetween val="midCat"/>
        <c:majorUnit val="0.2"/>
        <c:minorUnit val="0.1"/>
      </c:valAx>
      <c:valAx>
        <c:axId val="227087872"/>
        <c:scaling>
          <c:logBase val="10"/>
          <c:orientation val="minMax"/>
          <c:max val="1000"/>
          <c:min val="1.0000000000000041E-3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575" b="0"/>
                  <a:t>Pore Throat Radius, microns.</a:t>
                </a:r>
              </a:p>
            </c:rich>
          </c:tx>
          <c:layout>
            <c:manualLayout>
              <c:xMode val="edge"/>
              <c:yMode val="edge"/>
              <c:x val="1.7605633802816906E-2"/>
              <c:y val="0.288590956331800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75"/>
            </a:pPr>
            <a:endParaRPr lang="en-US"/>
          </a:p>
        </c:txPr>
        <c:crossAx val="227003392"/>
        <c:crosses val="max"/>
        <c:crossBetween val="midCat"/>
        <c:majorUnit val="10"/>
        <c:minorUnit val="10"/>
      </c:valAx>
      <c:spPr>
        <a:solidFill>
          <a:srgbClr val="FFFFFF"/>
        </a:solidFill>
        <a:ln w="12700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0.16901411284906759"/>
          <c:y val="6.0402679443359433E-2"/>
          <c:w val="0.4260563032526869"/>
          <c:h val="9.395972963363406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</a:ln>
      </c:spPr>
      <c:txPr>
        <a:bodyPr/>
        <a:lstStyle/>
        <a:p>
          <a:pPr>
            <a:defRPr sz="505"/>
          </a:pPr>
          <a:endParaRPr lang="en-US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3175">
      <a:solidFill>
        <a:sysClr val="windowText" lastClr="000000"/>
      </a:solidFill>
    </a:ln>
  </c:spPr>
  <c:txPr>
    <a:bodyPr/>
    <a:lstStyle/>
    <a:p>
      <a:pPr>
        <a:defRPr sz="600"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1" l="0.75000000000000921" r="0.75000000000000921" t="1" header="0.5" footer="0.5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en-US" sz="800" b="0">
                <a:latin typeface="Arial"/>
              </a:rPr>
              <a:t>Normalized  Data V.S. Pore Size Distrubition</a:t>
            </a:r>
          </a:p>
        </c:rich>
      </c:tx>
      <c:layout>
        <c:manualLayout>
          <c:xMode val="edge"/>
          <c:yMode val="edge"/>
          <c:x val="0.34320591413962531"/>
          <c:y val="5.31265197201520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130384661626489"/>
          <c:y val="0.16126507112319541"/>
          <c:w val="0.81528794194843257"/>
          <c:h val="0.67664041994752278"/>
        </c:manualLayout>
      </c:layout>
      <c:scatterChart>
        <c:scatterStyle val="lineMarker"/>
        <c:varyColors val="0"/>
        <c:ser>
          <c:idx val="0"/>
          <c:order val="0"/>
          <c:tx>
            <c:v>Normalized Pore Size Distribution</c:v>
          </c:tx>
          <c:spPr>
            <a:ln w="15875">
              <a:solidFill>
                <a:schemeClr val="dk2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dk2">
                  <a:lumMod val="75000"/>
                </a:schemeClr>
              </a:solidFill>
              <a:ln>
                <a:solidFill>
                  <a:schemeClr val="dk2">
                    <a:lumMod val="75000"/>
                  </a:schemeClr>
                </a:solidFill>
              </a:ln>
            </c:spPr>
          </c:marker>
          <c:xVal>
            <c:numRef>
              <c:f>Table!$E$18:$E$136</c:f>
              <c:numCache>
                <c:formatCode>???0.000</c:formatCode>
                <c:ptCount val="119"/>
                <c:pt idx="0">
                  <c:v>60.781227612652074</c:v>
                </c:pt>
                <c:pt idx="1">
                  <c:v>57.320493578951428</c:v>
                </c:pt>
                <c:pt idx="2">
                  <c:v>50.72688244685839</c:v>
                </c:pt>
                <c:pt idx="3">
                  <c:v>45.611810274568903</c:v>
                </c:pt>
                <c:pt idx="4">
                  <c:v>42.3386104707592</c:v>
                </c:pt>
                <c:pt idx="5">
                  <c:v>38.870150903397715</c:v>
                </c:pt>
                <c:pt idx="6">
                  <c:v>35.575738042982351</c:v>
                </c:pt>
                <c:pt idx="7">
                  <c:v>32.596482624887393</c:v>
                </c:pt>
                <c:pt idx="8">
                  <c:v>29.749822648243253</c:v>
                </c:pt>
                <c:pt idx="9">
                  <c:v>27.064754655162208</c:v>
                </c:pt>
                <c:pt idx="10">
                  <c:v>24.825340863813718</c:v>
                </c:pt>
                <c:pt idx="11">
                  <c:v>22.693604123131678</c:v>
                </c:pt>
                <c:pt idx="12">
                  <c:v>20.73829897990797</c:v>
                </c:pt>
                <c:pt idx="13">
                  <c:v>19.013788335691476</c:v>
                </c:pt>
                <c:pt idx="14">
                  <c:v>17.417575057875254</c:v>
                </c:pt>
                <c:pt idx="15">
                  <c:v>15.9013750890014</c:v>
                </c:pt>
                <c:pt idx="16">
                  <c:v>14.536109980668321</c:v>
                </c:pt>
                <c:pt idx="17">
                  <c:v>13.29510776441483</c:v>
                </c:pt>
                <c:pt idx="18">
                  <c:v>12.152042033890256</c:v>
                </c:pt>
                <c:pt idx="19">
                  <c:v>11.11003736630634</c:v>
                </c:pt>
                <c:pt idx="20">
                  <c:v>10.154262525168045</c:v>
                </c:pt>
                <c:pt idx="21">
                  <c:v>9.2790059501843363</c:v>
                </c:pt>
                <c:pt idx="22">
                  <c:v>8.5004953250436532</c:v>
                </c:pt>
                <c:pt idx="23">
                  <c:v>7.712924101223587</c:v>
                </c:pt>
                <c:pt idx="24">
                  <c:v>7.1138420144988572</c:v>
                </c:pt>
                <c:pt idx="25">
                  <c:v>6.4616072407950744</c:v>
                </c:pt>
                <c:pt idx="26">
                  <c:v>5.9214528109136548</c:v>
                </c:pt>
                <c:pt idx="27">
                  <c:v>5.4321437159433748</c:v>
                </c:pt>
                <c:pt idx="28">
                  <c:v>4.9617823536244359</c:v>
                </c:pt>
                <c:pt idx="29">
                  <c:v>4.5224574755300599</c:v>
                </c:pt>
                <c:pt idx="30">
                  <c:v>4.1369176090836763</c:v>
                </c:pt>
                <c:pt idx="31">
                  <c:v>3.7708526855820943</c:v>
                </c:pt>
                <c:pt idx="32">
                  <c:v>3.4455595279579638</c:v>
                </c:pt>
                <c:pt idx="33">
                  <c:v>3.1605303671942795</c:v>
                </c:pt>
                <c:pt idx="34">
                  <c:v>2.8006393563952687</c:v>
                </c:pt>
                <c:pt idx="35">
                  <c:v>2.6480952990121005</c:v>
                </c:pt>
                <c:pt idx="36">
                  <c:v>2.5201328506264602</c:v>
                </c:pt>
                <c:pt idx="37">
                  <c:v>2.2454192891690483</c:v>
                </c:pt>
                <c:pt idx="38">
                  <c:v>1.9211640472936993</c:v>
                </c:pt>
                <c:pt idx="39">
                  <c:v>1.7613804675158775</c:v>
                </c:pt>
                <c:pt idx="40">
                  <c:v>1.6621443876453206</c:v>
                </c:pt>
                <c:pt idx="41">
                  <c:v>1.5549136622239028</c:v>
                </c:pt>
                <c:pt idx="42">
                  <c:v>1.4010936311609772</c:v>
                </c:pt>
                <c:pt idx="43">
                  <c:v>1.2642401352195329</c:v>
                </c:pt>
                <c:pt idx="44">
                  <c:v>1.174689818577251</c:v>
                </c:pt>
                <c:pt idx="45">
                  <c:v>1.0531833816056324</c:v>
                </c:pt>
                <c:pt idx="46">
                  <c:v>0.97905757462097742</c:v>
                </c:pt>
                <c:pt idx="47">
                  <c:v>0.90615754255076608</c:v>
                </c:pt>
                <c:pt idx="48">
                  <c:v>0.81831318847205115</c:v>
                </c:pt>
                <c:pt idx="49">
                  <c:v>0.75466816358896105</c:v>
                </c:pt>
                <c:pt idx="50">
                  <c:v>0.69255853256923194</c:v>
                </c:pt>
                <c:pt idx="51">
                  <c:v>0.62732918316557817</c:v>
                </c:pt>
                <c:pt idx="52">
                  <c:v>0.57505351292180329</c:v>
                </c:pt>
                <c:pt idx="53">
                  <c:v>0.52792246974804169</c:v>
                </c:pt>
                <c:pt idx="54">
                  <c:v>0.48103280839774931</c:v>
                </c:pt>
                <c:pt idx="55">
                  <c:v>0.44178883451363099</c:v>
                </c:pt>
                <c:pt idx="56">
                  <c:v>0.40303466038234703</c:v>
                </c:pt>
                <c:pt idx="57">
                  <c:v>0.36723022475316891</c:v>
                </c:pt>
                <c:pt idx="58">
                  <c:v>0.33626571086909268</c:v>
                </c:pt>
                <c:pt idx="59">
                  <c:v>0.30715813343596565</c:v>
                </c:pt>
                <c:pt idx="60">
                  <c:v>0.28067539140354086</c:v>
                </c:pt>
                <c:pt idx="61">
                  <c:v>0.25678208591843094</c:v>
                </c:pt>
                <c:pt idx="62">
                  <c:v>0.23433119775872135</c:v>
                </c:pt>
                <c:pt idx="63">
                  <c:v>0.21366741444796339</c:v>
                </c:pt>
                <c:pt idx="64">
                  <c:v>0.1955998815708456</c:v>
                </c:pt>
                <c:pt idx="65">
                  <c:v>0.17873031528944253</c:v>
                </c:pt>
                <c:pt idx="66">
                  <c:v>0.16317484838806767</c:v>
                </c:pt>
                <c:pt idx="67">
                  <c:v>0.14947375976878308</c:v>
                </c:pt>
                <c:pt idx="68">
                  <c:v>0.13639406027617443</c:v>
                </c:pt>
                <c:pt idx="69">
                  <c:v>0.12464712724794688</c:v>
                </c:pt>
                <c:pt idx="70">
                  <c:v>0.1137879620370409</c:v>
                </c:pt>
                <c:pt idx="71">
                  <c:v>0.10386478218632443</c:v>
                </c:pt>
                <c:pt idx="72">
                  <c:v>9.5109738703247196E-2</c:v>
                </c:pt>
                <c:pt idx="73">
                  <c:v>8.7318737828864526E-2</c:v>
                </c:pt>
                <c:pt idx="74">
                  <c:v>7.9837744421990001E-2</c:v>
                </c:pt>
                <c:pt idx="75">
                  <c:v>7.2852851133149057E-2</c:v>
                </c:pt>
                <c:pt idx="76">
                  <c:v>6.6518115246436929E-2</c:v>
                </c:pt>
                <c:pt idx="77">
                  <c:v>6.0731243272834495E-2</c:v>
                </c:pt>
                <c:pt idx="78">
                  <c:v>5.5614429715942312E-2</c:v>
                </c:pt>
                <c:pt idx="79">
                  <c:v>5.0623733527062904E-2</c:v>
                </c:pt>
                <c:pt idx="80">
                  <c:v>4.6333623787687614E-2</c:v>
                </c:pt>
                <c:pt idx="81">
                  <c:v>4.2470001780195409E-2</c:v>
                </c:pt>
                <c:pt idx="82">
                  <c:v>3.871416060792289E-2</c:v>
                </c:pt>
                <c:pt idx="83">
                  <c:v>3.5415551936998836E-2</c:v>
                </c:pt>
                <c:pt idx="84">
                  <c:v>3.2402752422445523E-2</c:v>
                </c:pt>
                <c:pt idx="85">
                  <c:v>2.9586381602711192E-2</c:v>
                </c:pt>
                <c:pt idx="86">
                  <c:v>2.7048332855144224E-2</c:v>
                </c:pt>
                <c:pt idx="87">
                  <c:v>2.4720161185518869E-2</c:v>
                </c:pt>
                <c:pt idx="88">
                  <c:v>2.2585783936607231E-2</c:v>
                </c:pt>
                <c:pt idx="89">
                  <c:v>2.0659486436441714E-2</c:v>
                </c:pt>
                <c:pt idx="90">
                  <c:v>1.8911496575666799E-2</c:v>
                </c:pt>
                <c:pt idx="91">
                  <c:v>1.7272712556953514E-2</c:v>
                </c:pt>
                <c:pt idx="92">
                  <c:v>1.5785242775290125E-2</c:v>
                </c:pt>
                <c:pt idx="93">
                  <c:v>1.4419741129596876E-2</c:v>
                </c:pt>
                <c:pt idx="94">
                  <c:v>1.3193785885110929E-2</c:v>
                </c:pt>
                <c:pt idx="95">
                  <c:v>1.2050698074801346E-2</c:v>
                </c:pt>
                <c:pt idx="96">
                  <c:v>1.1020789570835743E-2</c:v>
                </c:pt>
                <c:pt idx="97">
                  <c:v>1.0076499886847135E-2</c:v>
                </c:pt>
                <c:pt idx="98">
                  <c:v>9.2052429938613463E-3</c:v>
                </c:pt>
                <c:pt idx="99">
                  <c:v>8.4120244390241058E-3</c:v>
                </c:pt>
                <c:pt idx="100">
                  <c:v>7.7045725885897167E-3</c:v>
                </c:pt>
                <c:pt idx="101">
                  <c:v>7.05238737283574E-3</c:v>
                </c:pt>
                <c:pt idx="102">
                  <c:v>6.4113563734750348E-3</c:v>
                </c:pt>
                <c:pt idx="103">
                  <c:v>5.8770842032862597E-3</c:v>
                </c:pt>
                <c:pt idx="104">
                  <c:v>5.3614529456814967E-3</c:v>
                </c:pt>
                <c:pt idx="105">
                  <c:v>4.9027947220928268E-3</c:v>
                </c:pt>
                <c:pt idx="106">
                  <c:v>4.4945487441561179E-3</c:v>
                </c:pt>
                <c:pt idx="107">
                  <c:v>4.1111506791425712E-3</c:v>
                </c:pt>
                <c:pt idx="108">
                  <c:v>3.7571375877605384E-3</c:v>
                </c:pt>
                <c:pt idx="109">
                  <c:v>3.4332981221523017E-3</c:v>
                </c:pt>
                <c:pt idx="110">
                  <c:v>3.128666279430909E-3</c:v>
                </c:pt>
                <c:pt idx="111">
                  <c:v>2.8651137897615611E-3</c:v>
                </c:pt>
                <c:pt idx="112">
                  <c:v>2.6197239706440847E-3</c:v>
                </c:pt>
                <c:pt idx="113">
                  <c:v>2.3942308576333027E-3</c:v>
                </c:pt>
                <c:pt idx="114">
                  <c:v>2.1886150302689316E-3</c:v>
                </c:pt>
                <c:pt idx="115">
                  <c:v>2.0022955203437853E-3</c:v>
                </c:pt>
                <c:pt idx="116">
                  <c:v>1.8304365610705827E-3</c:v>
                </c:pt>
                <c:pt idx="117">
                  <c:v>1.6736473112876713E-3</c:v>
                </c:pt>
                <c:pt idx="118">
                  <c:v>1.5420754446136646E-3</c:v>
                </c:pt>
              </c:numCache>
            </c:numRef>
          </c:xVal>
          <c:yVal>
            <c:numRef>
              <c:f>Table!$S$18:$S$136</c:f>
              <c:numCache>
                <c:formatCode>????0.000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3.3333333333333318E-3</c:v>
                </c:pt>
                <c:pt idx="33">
                  <c:v>4.166666666666664E-3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4.9999999999999975E-3</c:v>
                </c:pt>
                <c:pt idx="43">
                  <c:v>1.0833333333333327E-2</c:v>
                </c:pt>
                <c:pt idx="44">
                  <c:v>1.3333333333333327E-2</c:v>
                </c:pt>
                <c:pt idx="45">
                  <c:v>3.999999999999998E-2</c:v>
                </c:pt>
                <c:pt idx="46">
                  <c:v>3.7499999999999985E-2</c:v>
                </c:pt>
                <c:pt idx="47">
                  <c:v>5.9999999999999963E-2</c:v>
                </c:pt>
                <c:pt idx="48">
                  <c:v>0.25999999999999984</c:v>
                </c:pt>
                <c:pt idx="49">
                  <c:v>0.35583333333333306</c:v>
                </c:pt>
                <c:pt idx="50">
                  <c:v>0.55999999999999994</c:v>
                </c:pt>
                <c:pt idx="51">
                  <c:v>0.90999999999999936</c:v>
                </c:pt>
                <c:pt idx="52">
                  <c:v>0.95416666666666627</c:v>
                </c:pt>
                <c:pt idx="53">
                  <c:v>1</c:v>
                </c:pt>
                <c:pt idx="54">
                  <c:v>0.69499999999999884</c:v>
                </c:pt>
                <c:pt idx="55">
                  <c:v>0.3891666666666671</c:v>
                </c:pt>
                <c:pt idx="56">
                  <c:v>0.3591666666666658</c:v>
                </c:pt>
                <c:pt idx="57">
                  <c:v>0.32583333333333314</c:v>
                </c:pt>
                <c:pt idx="58">
                  <c:v>0.30916666666666676</c:v>
                </c:pt>
                <c:pt idx="59">
                  <c:v>0.29166666666666652</c:v>
                </c:pt>
                <c:pt idx="60">
                  <c:v>0.23916666666666639</c:v>
                </c:pt>
                <c:pt idx="61">
                  <c:v>0.23083333333333431</c:v>
                </c:pt>
                <c:pt idx="62">
                  <c:v>0.21750000000000005</c:v>
                </c:pt>
                <c:pt idx="63">
                  <c:v>0.23499999999999963</c:v>
                </c:pt>
                <c:pt idx="64">
                  <c:v>0.19666666666666621</c:v>
                </c:pt>
                <c:pt idx="65">
                  <c:v>0.21333333333333185</c:v>
                </c:pt>
                <c:pt idx="66">
                  <c:v>0.2108333333333344</c:v>
                </c:pt>
                <c:pt idx="67">
                  <c:v>0.18916666666666662</c:v>
                </c:pt>
                <c:pt idx="68">
                  <c:v>0.18499999999999986</c:v>
                </c:pt>
                <c:pt idx="69">
                  <c:v>0.17666666666666778</c:v>
                </c:pt>
                <c:pt idx="70">
                  <c:v>0.1791666666666652</c:v>
                </c:pt>
                <c:pt idx="71">
                  <c:v>0.18749999999999875</c:v>
                </c:pt>
                <c:pt idx="72">
                  <c:v>0.17250000000000246</c:v>
                </c:pt>
                <c:pt idx="73">
                  <c:v>0.15916666666666532</c:v>
                </c:pt>
                <c:pt idx="74">
                  <c:v>0.16250000000000106</c:v>
                </c:pt>
                <c:pt idx="75">
                  <c:v>0.15999999999999778</c:v>
                </c:pt>
                <c:pt idx="76">
                  <c:v>0.15500000000000144</c:v>
                </c:pt>
                <c:pt idx="77">
                  <c:v>0.1483333333333314</c:v>
                </c:pt>
                <c:pt idx="78">
                  <c:v>0.14250000000000115</c:v>
                </c:pt>
                <c:pt idx="79">
                  <c:v>0.14499999999999857</c:v>
                </c:pt>
                <c:pt idx="80">
                  <c:v>0.13583333333333547</c:v>
                </c:pt>
                <c:pt idx="81">
                  <c:v>0.12916666666666546</c:v>
                </c:pt>
                <c:pt idx="82">
                  <c:v>0.13333333333333366</c:v>
                </c:pt>
                <c:pt idx="83">
                  <c:v>0.12833333333333297</c:v>
                </c:pt>
                <c:pt idx="84">
                  <c:v>0.12000000000000088</c:v>
                </c:pt>
                <c:pt idx="85">
                  <c:v>0.12583333333333116</c:v>
                </c:pt>
                <c:pt idx="86">
                  <c:v>0.11916666666666841</c:v>
                </c:pt>
                <c:pt idx="87">
                  <c:v>0.11833333333333301</c:v>
                </c:pt>
                <c:pt idx="88">
                  <c:v>0.11666666666666806</c:v>
                </c:pt>
                <c:pt idx="89">
                  <c:v>0.11749999999999908</c:v>
                </c:pt>
                <c:pt idx="90">
                  <c:v>0.1116666666666659</c:v>
                </c:pt>
                <c:pt idx="91">
                  <c:v>0.11000000000000093</c:v>
                </c:pt>
                <c:pt idx="92">
                  <c:v>0.10583333333333271</c:v>
                </c:pt>
                <c:pt idx="93">
                  <c:v>0.10749999999999912</c:v>
                </c:pt>
                <c:pt idx="94">
                  <c:v>9.999999999999952E-2</c:v>
                </c:pt>
                <c:pt idx="95">
                  <c:v>9.0000000000001038E-2</c:v>
                </c:pt>
                <c:pt idx="96">
                  <c:v>9.4999999999998821E-2</c:v>
                </c:pt>
                <c:pt idx="97">
                  <c:v>8.5833333333332804E-2</c:v>
                </c:pt>
                <c:pt idx="98">
                  <c:v>8.0833333333333562E-2</c:v>
                </c:pt>
                <c:pt idx="99">
                  <c:v>7.5833333333334307E-2</c:v>
                </c:pt>
                <c:pt idx="100">
                  <c:v>7.0833333333333609E-2</c:v>
                </c:pt>
                <c:pt idx="101">
                  <c:v>6.9999999999999674E-2</c:v>
                </c:pt>
                <c:pt idx="102">
                  <c:v>6.9166666666665738E-2</c:v>
                </c:pt>
                <c:pt idx="103">
                  <c:v>5.9166666666668692E-2</c:v>
                </c:pt>
                <c:pt idx="104">
                  <c:v>5.2499999999998659E-2</c:v>
                </c:pt>
                <c:pt idx="105">
                  <c:v>4.7500000000000868E-2</c:v>
                </c:pt>
                <c:pt idx="106">
                  <c:v>4.1666666666666227E-2</c:v>
                </c:pt>
                <c:pt idx="107">
                  <c:v>3.9166666666667328E-2</c:v>
                </c:pt>
                <c:pt idx="108">
                  <c:v>3.5833333333333044E-2</c:v>
                </c:pt>
                <c:pt idx="109">
                  <c:v>3.3333333333332688E-2</c:v>
                </c:pt>
                <c:pt idx="110">
                  <c:v>2.7499999999999504E-2</c:v>
                </c:pt>
                <c:pt idx="111">
                  <c:v>2.416666666666813E-2</c:v>
                </c:pt>
                <c:pt idx="112">
                  <c:v>2.7499999999998047E-2</c:v>
                </c:pt>
                <c:pt idx="113">
                  <c:v>0</c:v>
                </c:pt>
                <c:pt idx="114">
                  <c:v>1.7499999999999554E-2</c:v>
                </c:pt>
                <c:pt idx="115">
                  <c:v>1.0833333333333889E-2</c:v>
                </c:pt>
                <c:pt idx="116">
                  <c:v>5.0000000000007053E-3</c:v>
                </c:pt>
                <c:pt idx="117">
                  <c:v>0</c:v>
                </c:pt>
                <c:pt idx="118">
                  <c:v>5.0000000000007053E-3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176832"/>
        <c:axId val="227179136"/>
      </c:scatterChart>
      <c:valAx>
        <c:axId val="227176832"/>
        <c:scaling>
          <c:logBase val="10"/>
          <c:orientation val="minMax"/>
          <c:max val="100"/>
          <c:min val="1.0000000000000041E-3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Pore Throat Radius (Microns)</a:t>
                </a:r>
              </a:p>
            </c:rich>
          </c:tx>
          <c:layout>
            <c:manualLayout>
              <c:xMode val="edge"/>
              <c:yMode val="edge"/>
              <c:x val="0.40037962382730313"/>
              <c:y val="0.92577462934190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>
                <a:latin typeface="Arial"/>
              </a:defRPr>
            </a:pPr>
            <a:endParaRPr lang="en-US"/>
          </a:p>
        </c:txPr>
        <c:crossAx val="227179136"/>
        <c:crosses val="autoZero"/>
        <c:crossBetween val="midCat"/>
      </c:valAx>
      <c:valAx>
        <c:axId val="227179136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Dristubition Function</a:t>
                </a:r>
              </a:p>
            </c:rich>
          </c:tx>
          <c:layout>
            <c:manualLayout>
              <c:xMode val="edge"/>
              <c:yMode val="edge"/>
              <c:x val="3.5392202272293852E-2"/>
              <c:y val="0.30886858206270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>
                <a:latin typeface="Arial"/>
              </a:defRPr>
            </a:pPr>
            <a:endParaRPr lang="en-US"/>
          </a:p>
        </c:txPr>
        <c:crossAx val="227176832"/>
        <c:crossesAt val="1.0000000000000041E-3"/>
        <c:crossBetween val="midCat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chemeClr val="dk1"/>
      </a:solidFill>
    </a:ln>
  </c:spPr>
  <c:txPr>
    <a:bodyPr/>
    <a:lstStyle/>
    <a:p>
      <a:pPr>
        <a:defRPr sz="800">
          <a:solidFill>
            <a:srgbClr val="000000"/>
          </a:solidFill>
          <a:latin typeface="Times New Roman"/>
        </a:defRPr>
      </a:pPr>
      <a:endParaRPr lang="en-US"/>
    </a:p>
  </c:txPr>
  <c:printSettings>
    <c:headerFooter/>
    <c:pageMargins b="1" l="0.75000000000000844" r="0.75000000000000844" t="1" header="0.5" footer="0.5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en-US" sz="800" b="1">
                <a:latin typeface="Arial"/>
              </a:rPr>
              <a:t>Saturation vs Log Pore Throat Size</a:t>
            </a:r>
          </a:p>
        </c:rich>
      </c:tx>
      <c:layout>
        <c:manualLayout>
          <c:xMode val="edge"/>
          <c:yMode val="edge"/>
          <c:x val="0.33093532012654897"/>
          <c:y val="3.1042222084444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664490420478818"/>
          <c:y val="0.10419268510258722"/>
          <c:w val="0.79829436705027268"/>
          <c:h val="0.76090414211159918"/>
        </c:manualLayout>
      </c:layout>
      <c:scatterChart>
        <c:scatterStyle val="smoothMarker"/>
        <c:varyColors val="0"/>
        <c:ser>
          <c:idx val="0"/>
          <c:order val="0"/>
          <c:tx>
            <c:v>Sat. (Frac)</c:v>
          </c:tx>
          <c:spPr>
            <a:ln w="12700">
              <a:solidFill>
                <a:srgbClr val="800080"/>
              </a:solidFill>
            </a:ln>
          </c:spPr>
          <c:marker>
            <c:symbol val="diamond"/>
            <c:size val="3"/>
            <c:spPr>
              <a:solidFill>
                <a:srgbClr val="800080"/>
              </a:solidFill>
              <a:ln>
                <a:solidFill>
                  <a:srgbClr val="800080"/>
                </a:solidFill>
              </a:ln>
            </c:spPr>
          </c:marker>
          <c:xVal>
            <c:numRef>
              <c:f>Table!$E$18:$E$136</c:f>
              <c:numCache>
                <c:formatCode>???0.000</c:formatCode>
                <c:ptCount val="119"/>
                <c:pt idx="0">
                  <c:v>60.781227612652074</c:v>
                </c:pt>
                <c:pt idx="1">
                  <c:v>57.320493578951428</c:v>
                </c:pt>
                <c:pt idx="2">
                  <c:v>50.72688244685839</c:v>
                </c:pt>
                <c:pt idx="3">
                  <c:v>45.611810274568903</c:v>
                </c:pt>
                <c:pt idx="4">
                  <c:v>42.3386104707592</c:v>
                </c:pt>
                <c:pt idx="5">
                  <c:v>38.870150903397715</c:v>
                </c:pt>
                <c:pt idx="6">
                  <c:v>35.575738042982351</c:v>
                </c:pt>
                <c:pt idx="7">
                  <c:v>32.596482624887393</c:v>
                </c:pt>
                <c:pt idx="8">
                  <c:v>29.749822648243253</c:v>
                </c:pt>
                <c:pt idx="9">
                  <c:v>27.064754655162208</c:v>
                </c:pt>
                <c:pt idx="10">
                  <c:v>24.825340863813718</c:v>
                </c:pt>
                <c:pt idx="11">
                  <c:v>22.693604123131678</c:v>
                </c:pt>
                <c:pt idx="12">
                  <c:v>20.73829897990797</c:v>
                </c:pt>
                <c:pt idx="13">
                  <c:v>19.013788335691476</c:v>
                </c:pt>
                <c:pt idx="14">
                  <c:v>17.417575057875254</c:v>
                </c:pt>
                <c:pt idx="15">
                  <c:v>15.9013750890014</c:v>
                </c:pt>
                <c:pt idx="16">
                  <c:v>14.536109980668321</c:v>
                </c:pt>
                <c:pt idx="17">
                  <c:v>13.29510776441483</c:v>
                </c:pt>
                <c:pt idx="18">
                  <c:v>12.152042033890256</c:v>
                </c:pt>
                <c:pt idx="19">
                  <c:v>11.11003736630634</c:v>
                </c:pt>
                <c:pt idx="20">
                  <c:v>10.154262525168045</c:v>
                </c:pt>
                <c:pt idx="21">
                  <c:v>9.2790059501843363</c:v>
                </c:pt>
                <c:pt idx="22">
                  <c:v>8.5004953250436532</c:v>
                </c:pt>
                <c:pt idx="23">
                  <c:v>7.712924101223587</c:v>
                </c:pt>
                <c:pt idx="24">
                  <c:v>7.1138420144988572</c:v>
                </c:pt>
                <c:pt idx="25">
                  <c:v>6.4616072407950744</c:v>
                </c:pt>
                <c:pt idx="26">
                  <c:v>5.9214528109136548</c:v>
                </c:pt>
                <c:pt idx="27">
                  <c:v>5.4321437159433748</c:v>
                </c:pt>
                <c:pt idx="28">
                  <c:v>4.9617823536244359</c:v>
                </c:pt>
                <c:pt idx="29">
                  <c:v>4.5224574755300599</c:v>
                </c:pt>
                <c:pt idx="30">
                  <c:v>4.1369176090836763</c:v>
                </c:pt>
                <c:pt idx="31">
                  <c:v>3.7708526855820943</c:v>
                </c:pt>
                <c:pt idx="32">
                  <c:v>3.4455595279579638</c:v>
                </c:pt>
                <c:pt idx="33">
                  <c:v>3.1605303671942795</c:v>
                </c:pt>
                <c:pt idx="34">
                  <c:v>2.8006393563952687</c:v>
                </c:pt>
                <c:pt idx="35">
                  <c:v>2.6480952990121005</c:v>
                </c:pt>
                <c:pt idx="36">
                  <c:v>2.5201328506264602</c:v>
                </c:pt>
                <c:pt idx="37">
                  <c:v>2.2454192891690483</c:v>
                </c:pt>
                <c:pt idx="38">
                  <c:v>1.9211640472936993</c:v>
                </c:pt>
                <c:pt idx="39">
                  <c:v>1.7613804675158775</c:v>
                </c:pt>
                <c:pt idx="40">
                  <c:v>1.6621443876453206</c:v>
                </c:pt>
                <c:pt idx="41">
                  <c:v>1.5549136622239028</c:v>
                </c:pt>
                <c:pt idx="42">
                  <c:v>1.4010936311609772</c:v>
                </c:pt>
                <c:pt idx="43">
                  <c:v>1.2642401352195329</c:v>
                </c:pt>
                <c:pt idx="44">
                  <c:v>1.174689818577251</c:v>
                </c:pt>
                <c:pt idx="45">
                  <c:v>1.0531833816056324</c:v>
                </c:pt>
                <c:pt idx="46">
                  <c:v>0.97905757462097742</c:v>
                </c:pt>
                <c:pt idx="47">
                  <c:v>0.90615754255076608</c:v>
                </c:pt>
                <c:pt idx="48">
                  <c:v>0.81831318847205115</c:v>
                </c:pt>
                <c:pt idx="49">
                  <c:v>0.75466816358896105</c:v>
                </c:pt>
                <c:pt idx="50">
                  <c:v>0.69255853256923194</c:v>
                </c:pt>
                <c:pt idx="51">
                  <c:v>0.62732918316557817</c:v>
                </c:pt>
                <c:pt idx="52">
                  <c:v>0.57505351292180329</c:v>
                </c:pt>
                <c:pt idx="53">
                  <c:v>0.52792246974804169</c:v>
                </c:pt>
                <c:pt idx="54">
                  <c:v>0.48103280839774931</c:v>
                </c:pt>
                <c:pt idx="55">
                  <c:v>0.44178883451363099</c:v>
                </c:pt>
                <c:pt idx="56">
                  <c:v>0.40303466038234703</c:v>
                </c:pt>
                <c:pt idx="57">
                  <c:v>0.36723022475316891</c:v>
                </c:pt>
                <c:pt idx="58">
                  <c:v>0.33626571086909268</c:v>
                </c:pt>
                <c:pt idx="59">
                  <c:v>0.30715813343596565</c:v>
                </c:pt>
                <c:pt idx="60">
                  <c:v>0.28067539140354086</c:v>
                </c:pt>
                <c:pt idx="61">
                  <c:v>0.25678208591843094</c:v>
                </c:pt>
                <c:pt idx="62">
                  <c:v>0.23433119775872135</c:v>
                </c:pt>
                <c:pt idx="63">
                  <c:v>0.21366741444796339</c:v>
                </c:pt>
                <c:pt idx="64">
                  <c:v>0.1955998815708456</c:v>
                </c:pt>
                <c:pt idx="65">
                  <c:v>0.17873031528944253</c:v>
                </c:pt>
                <c:pt idx="66">
                  <c:v>0.16317484838806767</c:v>
                </c:pt>
                <c:pt idx="67">
                  <c:v>0.14947375976878308</c:v>
                </c:pt>
                <c:pt idx="68">
                  <c:v>0.13639406027617443</c:v>
                </c:pt>
                <c:pt idx="69">
                  <c:v>0.12464712724794688</c:v>
                </c:pt>
                <c:pt idx="70">
                  <c:v>0.1137879620370409</c:v>
                </c:pt>
                <c:pt idx="71">
                  <c:v>0.10386478218632443</c:v>
                </c:pt>
                <c:pt idx="72">
                  <c:v>9.5109738703247196E-2</c:v>
                </c:pt>
                <c:pt idx="73">
                  <c:v>8.7318737828864526E-2</c:v>
                </c:pt>
                <c:pt idx="74">
                  <c:v>7.9837744421990001E-2</c:v>
                </c:pt>
                <c:pt idx="75">
                  <c:v>7.2852851133149057E-2</c:v>
                </c:pt>
                <c:pt idx="76">
                  <c:v>6.6518115246436929E-2</c:v>
                </c:pt>
                <c:pt idx="77">
                  <c:v>6.0731243272834495E-2</c:v>
                </c:pt>
                <c:pt idx="78">
                  <c:v>5.5614429715942312E-2</c:v>
                </c:pt>
                <c:pt idx="79">
                  <c:v>5.0623733527062904E-2</c:v>
                </c:pt>
                <c:pt idx="80">
                  <c:v>4.6333623787687614E-2</c:v>
                </c:pt>
                <c:pt idx="81">
                  <c:v>4.2470001780195409E-2</c:v>
                </c:pt>
                <c:pt idx="82">
                  <c:v>3.871416060792289E-2</c:v>
                </c:pt>
                <c:pt idx="83">
                  <c:v>3.5415551936998836E-2</c:v>
                </c:pt>
                <c:pt idx="84">
                  <c:v>3.2402752422445523E-2</c:v>
                </c:pt>
                <c:pt idx="85">
                  <c:v>2.9586381602711192E-2</c:v>
                </c:pt>
                <c:pt idx="86">
                  <c:v>2.7048332855144224E-2</c:v>
                </c:pt>
                <c:pt idx="87">
                  <c:v>2.4720161185518869E-2</c:v>
                </c:pt>
                <c:pt idx="88">
                  <c:v>2.2585783936607231E-2</c:v>
                </c:pt>
                <c:pt idx="89">
                  <c:v>2.0659486436441714E-2</c:v>
                </c:pt>
                <c:pt idx="90">
                  <c:v>1.8911496575666799E-2</c:v>
                </c:pt>
                <c:pt idx="91">
                  <c:v>1.7272712556953514E-2</c:v>
                </c:pt>
                <c:pt idx="92">
                  <c:v>1.5785242775290125E-2</c:v>
                </c:pt>
                <c:pt idx="93">
                  <c:v>1.4419741129596876E-2</c:v>
                </c:pt>
                <c:pt idx="94">
                  <c:v>1.3193785885110929E-2</c:v>
                </c:pt>
                <c:pt idx="95">
                  <c:v>1.2050698074801346E-2</c:v>
                </c:pt>
                <c:pt idx="96">
                  <c:v>1.1020789570835743E-2</c:v>
                </c:pt>
                <c:pt idx="97">
                  <c:v>1.0076499886847135E-2</c:v>
                </c:pt>
                <c:pt idx="98">
                  <c:v>9.2052429938613463E-3</c:v>
                </c:pt>
                <c:pt idx="99">
                  <c:v>8.4120244390241058E-3</c:v>
                </c:pt>
                <c:pt idx="100">
                  <c:v>7.7045725885897167E-3</c:v>
                </c:pt>
                <c:pt idx="101">
                  <c:v>7.05238737283574E-3</c:v>
                </c:pt>
                <c:pt idx="102">
                  <c:v>6.4113563734750348E-3</c:v>
                </c:pt>
                <c:pt idx="103">
                  <c:v>5.8770842032862597E-3</c:v>
                </c:pt>
                <c:pt idx="104">
                  <c:v>5.3614529456814967E-3</c:v>
                </c:pt>
                <c:pt idx="105">
                  <c:v>4.9027947220928268E-3</c:v>
                </c:pt>
                <c:pt idx="106">
                  <c:v>4.4945487441561179E-3</c:v>
                </c:pt>
                <c:pt idx="107">
                  <c:v>4.1111506791425712E-3</c:v>
                </c:pt>
                <c:pt idx="108">
                  <c:v>3.7571375877605384E-3</c:v>
                </c:pt>
                <c:pt idx="109">
                  <c:v>3.4332981221523017E-3</c:v>
                </c:pt>
                <c:pt idx="110">
                  <c:v>3.128666279430909E-3</c:v>
                </c:pt>
                <c:pt idx="111">
                  <c:v>2.8651137897615611E-3</c:v>
                </c:pt>
                <c:pt idx="112">
                  <c:v>2.6197239706440847E-3</c:v>
                </c:pt>
                <c:pt idx="113">
                  <c:v>2.3942308576333027E-3</c:v>
                </c:pt>
                <c:pt idx="114">
                  <c:v>2.1886150302689316E-3</c:v>
                </c:pt>
                <c:pt idx="115">
                  <c:v>2.0022955203437853E-3</c:v>
                </c:pt>
                <c:pt idx="116">
                  <c:v>1.8304365610705827E-3</c:v>
                </c:pt>
                <c:pt idx="117">
                  <c:v>1.6736473112876713E-3</c:v>
                </c:pt>
                <c:pt idx="118">
                  <c:v>1.5420754446136646E-3</c:v>
                </c:pt>
              </c:numCache>
            </c:numRef>
          </c:xVal>
          <c:yVal>
            <c:numRef>
              <c:f>'Raw Data'!$E$18:$E$136</c:f>
              <c:numCache>
                <c:formatCode>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2.5380710659898321E-4</c:v>
                </c:pt>
                <c:pt idx="33">
                  <c:v>5.7106598984771448E-4</c:v>
                </c:pt>
                <c:pt idx="34">
                  <c:v>5.7106598984771448E-4</c:v>
                </c:pt>
                <c:pt idx="35">
                  <c:v>5.7106598984771448E-4</c:v>
                </c:pt>
                <c:pt idx="36">
                  <c:v>5.7106598984771448E-4</c:v>
                </c:pt>
                <c:pt idx="37">
                  <c:v>5.7106598984771448E-4</c:v>
                </c:pt>
                <c:pt idx="38">
                  <c:v>5.7106598984771448E-4</c:v>
                </c:pt>
                <c:pt idx="39">
                  <c:v>5.7106598984771448E-4</c:v>
                </c:pt>
                <c:pt idx="40">
                  <c:v>5.7106598984771448E-4</c:v>
                </c:pt>
                <c:pt idx="41">
                  <c:v>5.7106598984771448E-4</c:v>
                </c:pt>
                <c:pt idx="42">
                  <c:v>9.5177664974619369E-4</c:v>
                </c:pt>
                <c:pt idx="43">
                  <c:v>1.7766497461928915E-3</c:v>
                </c:pt>
                <c:pt idx="44">
                  <c:v>2.7918781725888332E-3</c:v>
                </c:pt>
                <c:pt idx="45">
                  <c:v>5.8375634517766496E-3</c:v>
                </c:pt>
                <c:pt idx="46">
                  <c:v>8.6928934010152264E-3</c:v>
                </c:pt>
                <c:pt idx="47">
                  <c:v>1.326142131979695E-2</c:v>
                </c:pt>
                <c:pt idx="48">
                  <c:v>3.3058375634517766E-2</c:v>
                </c:pt>
                <c:pt idx="49">
                  <c:v>6.0152284263959382E-2</c:v>
                </c:pt>
                <c:pt idx="50">
                  <c:v>0.10279187817258884</c:v>
                </c:pt>
                <c:pt idx="51">
                  <c:v>0.17208121827411166</c:v>
                </c:pt>
                <c:pt idx="52">
                  <c:v>0.24473350253807105</c:v>
                </c:pt>
                <c:pt idx="53">
                  <c:v>0.32087563451776652</c:v>
                </c:pt>
                <c:pt idx="54">
                  <c:v>0.37379441624365478</c:v>
                </c:pt>
                <c:pt idx="55">
                  <c:v>0.4034263959390863</c:v>
                </c:pt>
                <c:pt idx="56">
                  <c:v>0.43077411167512686</c:v>
                </c:pt>
                <c:pt idx="57">
                  <c:v>0.45558375634517762</c:v>
                </c:pt>
                <c:pt idx="58">
                  <c:v>0.47912436548223347</c:v>
                </c:pt>
                <c:pt idx="59">
                  <c:v>0.50133248730964464</c:v>
                </c:pt>
                <c:pt idx="60">
                  <c:v>0.51954314720812178</c:v>
                </c:pt>
                <c:pt idx="61">
                  <c:v>0.53711928934010156</c:v>
                </c:pt>
                <c:pt idx="62">
                  <c:v>0.55368020304568533</c:v>
                </c:pt>
                <c:pt idx="63">
                  <c:v>0.57157360406091373</c:v>
                </c:pt>
                <c:pt idx="64">
                  <c:v>0.58654822335025381</c:v>
                </c:pt>
                <c:pt idx="65">
                  <c:v>0.60279187817258872</c:v>
                </c:pt>
                <c:pt idx="66">
                  <c:v>0.6188451776649746</c:v>
                </c:pt>
                <c:pt idx="67">
                  <c:v>0.63324873096446699</c:v>
                </c:pt>
                <c:pt idx="68">
                  <c:v>0.64733502538071064</c:v>
                </c:pt>
                <c:pt idx="69">
                  <c:v>0.66078680203045692</c:v>
                </c:pt>
                <c:pt idx="70">
                  <c:v>0.67442893401015225</c:v>
                </c:pt>
                <c:pt idx="71">
                  <c:v>0.68870558375634505</c:v>
                </c:pt>
                <c:pt idx="72">
                  <c:v>0.70184010152284271</c:v>
                </c:pt>
                <c:pt idx="73">
                  <c:v>0.71395939086294413</c:v>
                </c:pt>
                <c:pt idx="74">
                  <c:v>0.72633248730964473</c:v>
                </c:pt>
                <c:pt idx="75">
                  <c:v>0.73851522842639583</c:v>
                </c:pt>
                <c:pt idx="76">
                  <c:v>0.75031725888324874</c:v>
                </c:pt>
                <c:pt idx="77">
                  <c:v>0.76161167512690342</c:v>
                </c:pt>
                <c:pt idx="78">
                  <c:v>0.77246192893401011</c:v>
                </c:pt>
                <c:pt idx="79">
                  <c:v>0.78350253807106585</c:v>
                </c:pt>
                <c:pt idx="80">
                  <c:v>0.79384517766497464</c:v>
                </c:pt>
                <c:pt idx="81">
                  <c:v>0.80368020304568522</c:v>
                </c:pt>
                <c:pt idx="82">
                  <c:v>0.81383248730964464</c:v>
                </c:pt>
                <c:pt idx="83">
                  <c:v>0.82360406091370553</c:v>
                </c:pt>
                <c:pt idx="84">
                  <c:v>0.83274111675126905</c:v>
                </c:pt>
                <c:pt idx="85">
                  <c:v>0.84232233502538056</c:v>
                </c:pt>
                <c:pt idx="86">
                  <c:v>0.85139593908629441</c:v>
                </c:pt>
                <c:pt idx="87">
                  <c:v>0.86040609137055835</c:v>
                </c:pt>
                <c:pt idx="88">
                  <c:v>0.86928934010152292</c:v>
                </c:pt>
                <c:pt idx="89">
                  <c:v>0.87823604060913707</c:v>
                </c:pt>
                <c:pt idx="90">
                  <c:v>0.886738578680203</c:v>
                </c:pt>
                <c:pt idx="91">
                  <c:v>0.89511421319796958</c:v>
                </c:pt>
                <c:pt idx="92">
                  <c:v>0.9031725888324873</c:v>
                </c:pt>
                <c:pt idx="93">
                  <c:v>0.9113578680203045</c:v>
                </c:pt>
                <c:pt idx="94">
                  <c:v>0.91897208121827401</c:v>
                </c:pt>
                <c:pt idx="95">
                  <c:v>0.92582487309644668</c:v>
                </c:pt>
                <c:pt idx="96">
                  <c:v>0.93305837563451766</c:v>
                </c:pt>
                <c:pt idx="97">
                  <c:v>0.93959390862944148</c:v>
                </c:pt>
                <c:pt idx="98">
                  <c:v>0.94574873096446688</c:v>
                </c:pt>
                <c:pt idx="99">
                  <c:v>0.95152284263959386</c:v>
                </c:pt>
                <c:pt idx="100">
                  <c:v>0.95691624365482231</c:v>
                </c:pt>
                <c:pt idx="101">
                  <c:v>0.96224619289340096</c:v>
                </c:pt>
                <c:pt idx="102">
                  <c:v>0.96751269035532983</c:v>
                </c:pt>
                <c:pt idx="103">
                  <c:v>0.97201776649746197</c:v>
                </c:pt>
                <c:pt idx="104">
                  <c:v>0.97601522842639588</c:v>
                </c:pt>
                <c:pt idx="105">
                  <c:v>0.97963197969543148</c:v>
                </c:pt>
                <c:pt idx="106">
                  <c:v>0.98280456852791875</c:v>
                </c:pt>
                <c:pt idx="107">
                  <c:v>0.98578680203045688</c:v>
                </c:pt>
                <c:pt idx="108">
                  <c:v>0.98851522842639594</c:v>
                </c:pt>
                <c:pt idx="109">
                  <c:v>0.99105329949238574</c:v>
                </c:pt>
                <c:pt idx="110">
                  <c:v>0.99314720812182733</c:v>
                </c:pt>
                <c:pt idx="111">
                  <c:v>0.99498730964467008</c:v>
                </c:pt>
                <c:pt idx="112">
                  <c:v>0.99708121827411156</c:v>
                </c:pt>
                <c:pt idx="113">
                  <c:v>0.99708121827411156</c:v>
                </c:pt>
                <c:pt idx="114">
                  <c:v>0.99841370558375619</c:v>
                </c:pt>
                <c:pt idx="115">
                  <c:v>0.99923857868020294</c:v>
                </c:pt>
                <c:pt idx="116">
                  <c:v>0.99961928934010147</c:v>
                </c:pt>
                <c:pt idx="117">
                  <c:v>0.99961928934010147</c:v>
                </c:pt>
                <c:pt idx="118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547776"/>
        <c:axId val="227574912"/>
      </c:scatterChart>
      <c:valAx>
        <c:axId val="227547776"/>
        <c:scaling>
          <c:logBase val="10"/>
          <c:orientation val="minMax"/>
          <c:max val="100"/>
          <c:min val="1.0000000000000041E-3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Log Pore Throat Radius (Microns)</a:t>
                </a:r>
              </a:p>
            </c:rich>
          </c:tx>
          <c:layout>
            <c:manualLayout>
              <c:xMode val="edge"/>
              <c:yMode val="edge"/>
              <c:x val="0.39768561318499929"/>
              <c:y val="0.942799210869595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80">
                <a:latin typeface="Arial"/>
              </a:defRPr>
            </a:pPr>
            <a:endParaRPr lang="en-US"/>
          </a:p>
        </c:txPr>
        <c:crossAx val="227574912"/>
        <c:crosses val="autoZero"/>
        <c:crossBetween val="midCat"/>
      </c:valAx>
      <c:valAx>
        <c:axId val="227574912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Mercury Saturation, fractional</a:t>
                </a:r>
              </a:p>
            </c:rich>
          </c:tx>
          <c:layout>
            <c:manualLayout>
              <c:xMode val="edge"/>
              <c:yMode val="edge"/>
              <c:x val="1.7213682297809941E-2"/>
              <c:y val="0.331670401146337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80">
                <a:latin typeface="Arial"/>
              </a:defRPr>
            </a:pPr>
            <a:endParaRPr lang="en-US"/>
          </a:p>
        </c:txPr>
        <c:crossAx val="227547776"/>
        <c:crossesAt val="1.0000000000000041E-3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>
      <a:solidFill>
        <a:sysClr val="windowText" lastClr="000000"/>
      </a:solidFill>
    </a:ln>
  </c:spPr>
  <c:txPr>
    <a:bodyPr/>
    <a:lstStyle/>
    <a:p>
      <a:pPr>
        <a:defRPr sz="825">
          <a:solidFill>
            <a:srgbClr val="000000"/>
          </a:solidFill>
          <a:latin typeface="Times New Roman"/>
        </a:defRPr>
      </a:pPr>
      <a:endParaRPr lang="en-US"/>
    </a:p>
  </c:txPr>
  <c:printSettings>
    <c:headerFooter/>
    <c:pageMargins b="1" l="0.75000000000000966" r="0.75000000000000966" t="1" header="0.5" footer="0.5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en-US" sz="800" b="1">
                <a:latin typeface="Arial"/>
              </a:rPr>
              <a:t>d Sw / d Log Pore Throat Size vs Log Pore Throat Size</a:t>
            </a:r>
          </a:p>
        </c:rich>
      </c:tx>
      <c:layout>
        <c:manualLayout>
          <c:xMode val="edge"/>
          <c:yMode val="edge"/>
          <c:x val="0.2429618814204548"/>
          <c:y val="3.10126151025640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49448905544897"/>
          <c:y val="0.10031489965429066"/>
          <c:w val="0.81356164375743056"/>
          <c:h val="0.76537560680389582"/>
        </c:manualLayout>
      </c:layout>
      <c:scatterChart>
        <c:scatterStyle val="smoothMarker"/>
        <c:varyColors val="0"/>
        <c:ser>
          <c:idx val="0"/>
          <c:order val="0"/>
          <c:tx>
            <c:v>Sat. (Frac)</c:v>
          </c:tx>
          <c:spPr>
            <a:ln w="12700">
              <a:solidFill>
                <a:srgbClr val="FF0000"/>
              </a:solidFill>
            </a:ln>
          </c:spPr>
          <c:marker>
            <c:symbol val="diamond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Table!$E$18:$E$136</c:f>
              <c:numCache>
                <c:formatCode>???0.000</c:formatCode>
                <c:ptCount val="119"/>
                <c:pt idx="0">
                  <c:v>60.781227612652074</c:v>
                </c:pt>
                <c:pt idx="1">
                  <c:v>57.320493578951428</c:v>
                </c:pt>
                <c:pt idx="2">
                  <c:v>50.72688244685839</c:v>
                </c:pt>
                <c:pt idx="3">
                  <c:v>45.611810274568903</c:v>
                </c:pt>
                <c:pt idx="4">
                  <c:v>42.3386104707592</c:v>
                </c:pt>
                <c:pt idx="5">
                  <c:v>38.870150903397715</c:v>
                </c:pt>
                <c:pt idx="6">
                  <c:v>35.575738042982351</c:v>
                </c:pt>
                <c:pt idx="7">
                  <c:v>32.596482624887393</c:v>
                </c:pt>
                <c:pt idx="8">
                  <c:v>29.749822648243253</c:v>
                </c:pt>
                <c:pt idx="9">
                  <c:v>27.064754655162208</c:v>
                </c:pt>
                <c:pt idx="10">
                  <c:v>24.825340863813718</c:v>
                </c:pt>
                <c:pt idx="11">
                  <c:v>22.693604123131678</c:v>
                </c:pt>
                <c:pt idx="12">
                  <c:v>20.73829897990797</c:v>
                </c:pt>
                <c:pt idx="13">
                  <c:v>19.013788335691476</c:v>
                </c:pt>
                <c:pt idx="14">
                  <c:v>17.417575057875254</c:v>
                </c:pt>
                <c:pt idx="15">
                  <c:v>15.9013750890014</c:v>
                </c:pt>
                <c:pt idx="16">
                  <c:v>14.536109980668321</c:v>
                </c:pt>
                <c:pt idx="17">
                  <c:v>13.29510776441483</c:v>
                </c:pt>
                <c:pt idx="18">
                  <c:v>12.152042033890256</c:v>
                </c:pt>
                <c:pt idx="19">
                  <c:v>11.11003736630634</c:v>
                </c:pt>
                <c:pt idx="20">
                  <c:v>10.154262525168045</c:v>
                </c:pt>
                <c:pt idx="21">
                  <c:v>9.2790059501843363</c:v>
                </c:pt>
                <c:pt idx="22">
                  <c:v>8.5004953250436532</c:v>
                </c:pt>
                <c:pt idx="23">
                  <c:v>7.712924101223587</c:v>
                </c:pt>
                <c:pt idx="24">
                  <c:v>7.1138420144988572</c:v>
                </c:pt>
                <c:pt idx="25">
                  <c:v>6.4616072407950744</c:v>
                </c:pt>
                <c:pt idx="26">
                  <c:v>5.9214528109136548</c:v>
                </c:pt>
                <c:pt idx="27">
                  <c:v>5.4321437159433748</c:v>
                </c:pt>
                <c:pt idx="28">
                  <c:v>4.9617823536244359</c:v>
                </c:pt>
                <c:pt idx="29">
                  <c:v>4.5224574755300599</c:v>
                </c:pt>
                <c:pt idx="30">
                  <c:v>4.1369176090836763</c:v>
                </c:pt>
                <c:pt idx="31">
                  <c:v>3.7708526855820943</c:v>
                </c:pt>
                <c:pt idx="32">
                  <c:v>3.4455595279579638</c:v>
                </c:pt>
                <c:pt idx="33">
                  <c:v>3.1605303671942795</c:v>
                </c:pt>
                <c:pt idx="34">
                  <c:v>2.8006393563952687</c:v>
                </c:pt>
                <c:pt idx="35">
                  <c:v>2.6480952990121005</c:v>
                </c:pt>
                <c:pt idx="36">
                  <c:v>2.5201328506264602</c:v>
                </c:pt>
                <c:pt idx="37">
                  <c:v>2.2454192891690483</c:v>
                </c:pt>
                <c:pt idx="38">
                  <c:v>1.9211640472936993</c:v>
                </c:pt>
                <c:pt idx="39">
                  <c:v>1.7613804675158775</c:v>
                </c:pt>
                <c:pt idx="40">
                  <c:v>1.6621443876453206</c:v>
                </c:pt>
                <c:pt idx="41">
                  <c:v>1.5549136622239028</c:v>
                </c:pt>
                <c:pt idx="42">
                  <c:v>1.4010936311609772</c:v>
                </c:pt>
                <c:pt idx="43">
                  <c:v>1.2642401352195329</c:v>
                </c:pt>
                <c:pt idx="44">
                  <c:v>1.174689818577251</c:v>
                </c:pt>
                <c:pt idx="45">
                  <c:v>1.0531833816056324</c:v>
                </c:pt>
                <c:pt idx="46">
                  <c:v>0.97905757462097742</c:v>
                </c:pt>
                <c:pt idx="47">
                  <c:v>0.90615754255076608</c:v>
                </c:pt>
                <c:pt idx="48">
                  <c:v>0.81831318847205115</c:v>
                </c:pt>
                <c:pt idx="49">
                  <c:v>0.75466816358896105</c:v>
                </c:pt>
                <c:pt idx="50">
                  <c:v>0.69255853256923194</c:v>
                </c:pt>
                <c:pt idx="51">
                  <c:v>0.62732918316557817</c:v>
                </c:pt>
                <c:pt idx="52">
                  <c:v>0.57505351292180329</c:v>
                </c:pt>
                <c:pt idx="53">
                  <c:v>0.52792246974804169</c:v>
                </c:pt>
                <c:pt idx="54">
                  <c:v>0.48103280839774931</c:v>
                </c:pt>
                <c:pt idx="55">
                  <c:v>0.44178883451363099</c:v>
                </c:pt>
                <c:pt idx="56">
                  <c:v>0.40303466038234703</c:v>
                </c:pt>
                <c:pt idx="57">
                  <c:v>0.36723022475316891</c:v>
                </c:pt>
                <c:pt idx="58">
                  <c:v>0.33626571086909268</c:v>
                </c:pt>
                <c:pt idx="59">
                  <c:v>0.30715813343596565</c:v>
                </c:pt>
                <c:pt idx="60">
                  <c:v>0.28067539140354086</c:v>
                </c:pt>
                <c:pt idx="61">
                  <c:v>0.25678208591843094</c:v>
                </c:pt>
                <c:pt idx="62">
                  <c:v>0.23433119775872135</c:v>
                </c:pt>
                <c:pt idx="63">
                  <c:v>0.21366741444796339</c:v>
                </c:pt>
                <c:pt idx="64">
                  <c:v>0.1955998815708456</c:v>
                </c:pt>
                <c:pt idx="65">
                  <c:v>0.17873031528944253</c:v>
                </c:pt>
                <c:pt idx="66">
                  <c:v>0.16317484838806767</c:v>
                </c:pt>
                <c:pt idx="67">
                  <c:v>0.14947375976878308</c:v>
                </c:pt>
                <c:pt idx="68">
                  <c:v>0.13639406027617443</c:v>
                </c:pt>
                <c:pt idx="69">
                  <c:v>0.12464712724794688</c:v>
                </c:pt>
                <c:pt idx="70">
                  <c:v>0.1137879620370409</c:v>
                </c:pt>
                <c:pt idx="71">
                  <c:v>0.10386478218632443</c:v>
                </c:pt>
                <c:pt idx="72">
                  <c:v>9.5109738703247196E-2</c:v>
                </c:pt>
                <c:pt idx="73">
                  <c:v>8.7318737828864526E-2</c:v>
                </c:pt>
                <c:pt idx="74">
                  <c:v>7.9837744421990001E-2</c:v>
                </c:pt>
                <c:pt idx="75">
                  <c:v>7.2852851133149057E-2</c:v>
                </c:pt>
                <c:pt idx="76">
                  <c:v>6.6518115246436929E-2</c:v>
                </c:pt>
                <c:pt idx="77">
                  <c:v>6.0731243272834495E-2</c:v>
                </c:pt>
                <c:pt idx="78">
                  <c:v>5.5614429715942312E-2</c:v>
                </c:pt>
                <c:pt idx="79">
                  <c:v>5.0623733527062904E-2</c:v>
                </c:pt>
                <c:pt idx="80">
                  <c:v>4.6333623787687614E-2</c:v>
                </c:pt>
                <c:pt idx="81">
                  <c:v>4.2470001780195409E-2</c:v>
                </c:pt>
                <c:pt idx="82">
                  <c:v>3.871416060792289E-2</c:v>
                </c:pt>
                <c:pt idx="83">
                  <c:v>3.5415551936998836E-2</c:v>
                </c:pt>
                <c:pt idx="84">
                  <c:v>3.2402752422445523E-2</c:v>
                </c:pt>
                <c:pt idx="85">
                  <c:v>2.9586381602711192E-2</c:v>
                </c:pt>
                <c:pt idx="86">
                  <c:v>2.7048332855144224E-2</c:v>
                </c:pt>
                <c:pt idx="87">
                  <c:v>2.4720161185518869E-2</c:v>
                </c:pt>
                <c:pt idx="88">
                  <c:v>2.2585783936607231E-2</c:v>
                </c:pt>
                <c:pt idx="89">
                  <c:v>2.0659486436441714E-2</c:v>
                </c:pt>
                <c:pt idx="90">
                  <c:v>1.8911496575666799E-2</c:v>
                </c:pt>
                <c:pt idx="91">
                  <c:v>1.7272712556953514E-2</c:v>
                </c:pt>
                <c:pt idx="92">
                  <c:v>1.5785242775290125E-2</c:v>
                </c:pt>
                <c:pt idx="93">
                  <c:v>1.4419741129596876E-2</c:v>
                </c:pt>
                <c:pt idx="94">
                  <c:v>1.3193785885110929E-2</c:v>
                </c:pt>
                <c:pt idx="95">
                  <c:v>1.2050698074801346E-2</c:v>
                </c:pt>
                <c:pt idx="96">
                  <c:v>1.1020789570835743E-2</c:v>
                </c:pt>
                <c:pt idx="97">
                  <c:v>1.0076499886847135E-2</c:v>
                </c:pt>
                <c:pt idx="98">
                  <c:v>9.2052429938613463E-3</c:v>
                </c:pt>
                <c:pt idx="99">
                  <c:v>8.4120244390241058E-3</c:v>
                </c:pt>
                <c:pt idx="100">
                  <c:v>7.7045725885897167E-3</c:v>
                </c:pt>
                <c:pt idx="101">
                  <c:v>7.05238737283574E-3</c:v>
                </c:pt>
                <c:pt idx="102">
                  <c:v>6.4113563734750348E-3</c:v>
                </c:pt>
                <c:pt idx="103">
                  <c:v>5.8770842032862597E-3</c:v>
                </c:pt>
                <c:pt idx="104">
                  <c:v>5.3614529456814967E-3</c:v>
                </c:pt>
                <c:pt idx="105">
                  <c:v>4.9027947220928268E-3</c:v>
                </c:pt>
                <c:pt idx="106">
                  <c:v>4.4945487441561179E-3</c:v>
                </c:pt>
                <c:pt idx="107">
                  <c:v>4.1111506791425712E-3</c:v>
                </c:pt>
                <c:pt idx="108">
                  <c:v>3.7571375877605384E-3</c:v>
                </c:pt>
                <c:pt idx="109">
                  <c:v>3.4332981221523017E-3</c:v>
                </c:pt>
                <c:pt idx="110">
                  <c:v>3.128666279430909E-3</c:v>
                </c:pt>
                <c:pt idx="111">
                  <c:v>2.8651137897615611E-3</c:v>
                </c:pt>
                <c:pt idx="112">
                  <c:v>2.6197239706440847E-3</c:v>
                </c:pt>
                <c:pt idx="113">
                  <c:v>2.3942308576333027E-3</c:v>
                </c:pt>
                <c:pt idx="114">
                  <c:v>2.1886150302689316E-3</c:v>
                </c:pt>
                <c:pt idx="115">
                  <c:v>2.0022955203437853E-3</c:v>
                </c:pt>
                <c:pt idx="116">
                  <c:v>1.8304365610705827E-3</c:v>
                </c:pt>
                <c:pt idx="117">
                  <c:v>1.6736473112876713E-3</c:v>
                </c:pt>
                <c:pt idx="118">
                  <c:v>1.5420754446136646E-3</c:v>
                </c:pt>
              </c:numCache>
            </c:numRef>
          </c:xVal>
          <c:yVal>
            <c:numRef>
              <c:f>Table!$J$18:$J$136</c:f>
              <c:numCache>
                <c:formatCode>???0.000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6.478007785091713E-3</c:v>
                </c:pt>
                <c:pt idx="33">
                  <c:v>8.4602842640361352E-3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8.4155185864952572E-3</c:v>
                </c:pt>
                <c:pt idx="43">
                  <c:v>1.8479339534442668E-2</c:v>
                </c:pt>
                <c:pt idx="44">
                  <c:v>3.1818989742744962E-2</c:v>
                </c:pt>
                <c:pt idx="45">
                  <c:v>6.4228937522777904E-2</c:v>
                </c:pt>
                <c:pt idx="46">
                  <c:v>9.0085532446545852E-2</c:v>
                </c:pt>
                <c:pt idx="47">
                  <c:v>0.13594979614113517</c:v>
                </c:pt>
                <c:pt idx="48">
                  <c:v>0.44704369938795036</c:v>
                </c:pt>
                <c:pt idx="49">
                  <c:v>0.77051181388649181</c:v>
                </c:pt>
                <c:pt idx="50">
                  <c:v>1.1431665983688377</c:v>
                </c:pt>
                <c:pt idx="51">
                  <c:v>1.6128430743150455</c:v>
                </c:pt>
                <c:pt idx="52">
                  <c:v>1.9226676170593804</c:v>
                </c:pt>
                <c:pt idx="53">
                  <c:v>2.0502423063795057</c:v>
                </c:pt>
                <c:pt idx="54">
                  <c:v>1.3100184046359444</c:v>
                </c:pt>
                <c:pt idx="55">
                  <c:v>0.80173186706397925</c:v>
                </c:pt>
                <c:pt idx="56">
                  <c:v>0.6858818997601025</c:v>
                </c:pt>
                <c:pt idx="57">
                  <c:v>0.6140396543559834</c:v>
                </c:pt>
                <c:pt idx="58">
                  <c:v>0.61534690663743385</c:v>
                </c:pt>
                <c:pt idx="59">
                  <c:v>0.56479661539965254</c:v>
                </c:pt>
                <c:pt idx="60">
                  <c:v>0.46505969161890148</c:v>
                </c:pt>
                <c:pt idx="61">
                  <c:v>0.4548736408990417</c:v>
                </c:pt>
                <c:pt idx="62">
                  <c:v>0.41678812703125445</c:v>
                </c:pt>
                <c:pt idx="63">
                  <c:v>0.44631054564200295</c:v>
                </c:pt>
                <c:pt idx="64">
                  <c:v>0.39027191954578194</c:v>
                </c:pt>
                <c:pt idx="65">
                  <c:v>0.41469244415567202</c:v>
                </c:pt>
                <c:pt idx="66">
                  <c:v>0.4059501331885873</c:v>
                </c:pt>
                <c:pt idx="67">
                  <c:v>0.37816255177261543</c:v>
                </c:pt>
                <c:pt idx="68">
                  <c:v>0.35419842293670051</c:v>
                </c:pt>
                <c:pt idx="69">
                  <c:v>0.34391924143865332</c:v>
                </c:pt>
                <c:pt idx="70">
                  <c:v>0.34462051349495898</c:v>
                </c:pt>
                <c:pt idx="71">
                  <c:v>0.36026668319317956</c:v>
                </c:pt>
                <c:pt idx="72">
                  <c:v>0.3434460096866232</c:v>
                </c:pt>
                <c:pt idx="73">
                  <c:v>0.32651112233978002</c:v>
                </c:pt>
                <c:pt idx="74">
                  <c:v>0.31808107628079735</c:v>
                </c:pt>
                <c:pt idx="75">
                  <c:v>0.30639382330671644</c:v>
                </c:pt>
                <c:pt idx="76">
                  <c:v>0.29873553321392543</c:v>
                </c:pt>
                <c:pt idx="77">
                  <c:v>0.28573375549721586</c:v>
                </c:pt>
                <c:pt idx="78">
                  <c:v>0.28385463901361158</c:v>
                </c:pt>
                <c:pt idx="79">
                  <c:v>0.27038237427470302</c:v>
                </c:pt>
                <c:pt idx="80">
                  <c:v>0.26893404668955445</c:v>
                </c:pt>
                <c:pt idx="81">
                  <c:v>0.26008960396604969</c:v>
                </c:pt>
                <c:pt idx="82">
                  <c:v>0.25246630995646352</c:v>
                </c:pt>
                <c:pt idx="83">
                  <c:v>0.25265321683517361</c:v>
                </c:pt>
                <c:pt idx="84">
                  <c:v>0.23663703880579792</c:v>
                </c:pt>
                <c:pt idx="85">
                  <c:v>0.24262361633070917</c:v>
                </c:pt>
                <c:pt idx="86">
                  <c:v>0.23294708748331652</c:v>
                </c:pt>
                <c:pt idx="87">
                  <c:v>0.23050232199002618</c:v>
                </c:pt>
                <c:pt idx="88">
                  <c:v>0.22652028540134203</c:v>
                </c:pt>
                <c:pt idx="89">
                  <c:v>0.23108745471564426</c:v>
                </c:pt>
                <c:pt idx="90">
                  <c:v>0.22145703921547955</c:v>
                </c:pt>
                <c:pt idx="91">
                  <c:v>0.2127666578938229</c:v>
                </c:pt>
                <c:pt idx="92">
                  <c:v>0.20604765958182727</c:v>
                </c:pt>
                <c:pt idx="93">
                  <c:v>0.20830967715577964</c:v>
                </c:pt>
                <c:pt idx="94">
                  <c:v>0.19732058932634777</c:v>
                </c:pt>
                <c:pt idx="95">
                  <c:v>0.17411775457973544</c:v>
                </c:pt>
                <c:pt idx="96">
                  <c:v>0.18643290237515148</c:v>
                </c:pt>
                <c:pt idx="97">
                  <c:v>0.16799557940568985</c:v>
                </c:pt>
                <c:pt idx="98">
                  <c:v>0.15671315021749116</c:v>
                </c:pt>
                <c:pt idx="99">
                  <c:v>0.1475444307413343</c:v>
                </c:pt>
                <c:pt idx="100">
                  <c:v>0.14136623548490548</c:v>
                </c:pt>
                <c:pt idx="101">
                  <c:v>0.13875598350805571</c:v>
                </c:pt>
                <c:pt idx="102">
                  <c:v>0.12725237360206723</c:v>
                </c:pt>
                <c:pt idx="103">
                  <c:v>0.11921974146379617</c:v>
                </c:pt>
                <c:pt idx="104">
                  <c:v>0.10023873223612087</c:v>
                </c:pt>
                <c:pt idx="105">
                  <c:v>9.3122143412553593E-2</c:v>
                </c:pt>
                <c:pt idx="106">
                  <c:v>8.4025138313033113E-2</c:v>
                </c:pt>
                <c:pt idx="107">
                  <c:v>7.7015122490710866E-2</c:v>
                </c:pt>
                <c:pt idx="108">
                  <c:v>6.9769493235533511E-2</c:v>
                </c:pt>
                <c:pt idx="109">
                  <c:v>6.4836715802484388E-2</c:v>
                </c:pt>
                <c:pt idx="110">
                  <c:v>5.189072119641943E-2</c:v>
                </c:pt>
                <c:pt idx="111">
                  <c:v>4.8148307748247653E-2</c:v>
                </c:pt>
                <c:pt idx="112">
                  <c:v>5.384689267702375E-2</c:v>
                </c:pt>
                <c:pt idx="113">
                  <c:v>0</c:v>
                </c:pt>
                <c:pt idx="114">
                  <c:v>3.4169279456258625E-2</c:v>
                </c:pt>
                <c:pt idx="115">
                  <c:v>2.1346983549748566E-2</c:v>
                </c:pt>
                <c:pt idx="116">
                  <c:v>9.7684508444654712E-3</c:v>
                </c:pt>
                <c:pt idx="117">
                  <c:v>0</c:v>
                </c:pt>
                <c:pt idx="118">
                  <c:v>1.070665412375022E-2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959552"/>
        <c:axId val="227961856"/>
      </c:scatterChart>
      <c:valAx>
        <c:axId val="227959552"/>
        <c:scaling>
          <c:logBase val="10"/>
          <c:orientation val="minMax"/>
          <c:max val="100"/>
          <c:min val="1.0000000000000041E-3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Log Pore Throat Radius (Microns)</a:t>
                </a:r>
              </a:p>
            </c:rich>
          </c:tx>
          <c:layout>
            <c:manualLayout>
              <c:xMode val="edge"/>
              <c:yMode val="edge"/>
              <c:x val="0.37010695397441207"/>
              <c:y val="0.9408458794107461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80">
                <a:latin typeface="Arial"/>
              </a:defRPr>
            </a:pPr>
            <a:endParaRPr lang="en-US"/>
          </a:p>
        </c:txPr>
        <c:crossAx val="227961856"/>
        <c:crosses val="autoZero"/>
        <c:crossBetween val="midCat"/>
      </c:valAx>
      <c:valAx>
        <c:axId val="22796185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d Sw / d LOG Pore Throat Rad.</a:t>
                </a:r>
              </a:p>
            </c:rich>
          </c:tx>
          <c:layout>
            <c:manualLayout>
              <c:xMode val="edge"/>
              <c:yMode val="edge"/>
              <c:x val="2.0606709152410356E-2"/>
              <c:y val="0.399264163377781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80">
                <a:latin typeface="Arial"/>
              </a:defRPr>
            </a:pPr>
            <a:endParaRPr lang="en-US"/>
          </a:p>
        </c:txPr>
        <c:crossAx val="227959552"/>
        <c:crossesAt val="1.0000000000000041E-3"/>
        <c:crossBetween val="midCat"/>
        <c:majorUnit val="1"/>
        <c:min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accent5">
        <a:lumMod val="20000"/>
        <a:lumOff val="80000"/>
      </a:schemeClr>
    </a:solidFill>
    <a:ln>
      <a:solidFill>
        <a:sysClr val="windowText" lastClr="000000"/>
      </a:solidFill>
    </a:ln>
  </c:spPr>
  <c:txPr>
    <a:bodyPr/>
    <a:lstStyle/>
    <a:p>
      <a:pPr>
        <a:defRPr sz="900">
          <a:solidFill>
            <a:srgbClr val="000000"/>
          </a:solidFill>
          <a:latin typeface="Times New Roman"/>
        </a:defRPr>
      </a:pPr>
      <a:endParaRPr lang="en-US"/>
    </a:p>
  </c:txPr>
  <c:printSettings>
    <c:headerFooter/>
    <c:pageMargins b="1" l="0.75000000000000966" r="0.75000000000000966" t="1" header="0.5" footer="0.5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en-US" sz="800" b="0">
                <a:latin typeface="Arial"/>
              </a:rPr>
              <a:t>Normalized Pore Size Distribution VS Normalized Permeability</a:t>
            </a:r>
          </a:p>
        </c:rich>
      </c:tx>
      <c:layout>
        <c:manualLayout>
          <c:xMode val="edge"/>
          <c:yMode val="edge"/>
          <c:x val="0.2255588553160959"/>
          <c:y val="4.420790210588230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130384661626489"/>
          <c:y val="0.16126507112319541"/>
          <c:w val="0.81528794194843257"/>
          <c:h val="0.67664041994752322"/>
        </c:manualLayout>
      </c:layout>
      <c:scatterChart>
        <c:scatterStyle val="smoothMarker"/>
        <c:varyColors val="0"/>
        <c:ser>
          <c:idx val="0"/>
          <c:order val="0"/>
          <c:tx>
            <c:v>Normalized Pore Size Distribution</c:v>
          </c:tx>
          <c:spPr>
            <a:ln w="15875">
              <a:solidFill>
                <a:schemeClr val="dk2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dk2">
                  <a:lumMod val="75000"/>
                </a:schemeClr>
              </a:solidFill>
              <a:ln>
                <a:solidFill>
                  <a:schemeClr val="dk2">
                    <a:lumMod val="75000"/>
                  </a:schemeClr>
                </a:solidFill>
              </a:ln>
            </c:spPr>
          </c:marker>
          <c:xVal>
            <c:numRef>
              <c:f>Table!$E$18:$E$136</c:f>
              <c:numCache>
                <c:formatCode>???0.000</c:formatCode>
                <c:ptCount val="119"/>
                <c:pt idx="0">
                  <c:v>60.781227612652074</c:v>
                </c:pt>
                <c:pt idx="1">
                  <c:v>57.320493578951428</c:v>
                </c:pt>
                <c:pt idx="2">
                  <c:v>50.72688244685839</c:v>
                </c:pt>
                <c:pt idx="3">
                  <c:v>45.611810274568903</c:v>
                </c:pt>
                <c:pt idx="4">
                  <c:v>42.3386104707592</c:v>
                </c:pt>
                <c:pt idx="5">
                  <c:v>38.870150903397715</c:v>
                </c:pt>
                <c:pt idx="6">
                  <c:v>35.575738042982351</c:v>
                </c:pt>
                <c:pt idx="7">
                  <c:v>32.596482624887393</c:v>
                </c:pt>
                <c:pt idx="8">
                  <c:v>29.749822648243253</c:v>
                </c:pt>
                <c:pt idx="9">
                  <c:v>27.064754655162208</c:v>
                </c:pt>
                <c:pt idx="10">
                  <c:v>24.825340863813718</c:v>
                </c:pt>
                <c:pt idx="11">
                  <c:v>22.693604123131678</c:v>
                </c:pt>
                <c:pt idx="12">
                  <c:v>20.73829897990797</c:v>
                </c:pt>
                <c:pt idx="13">
                  <c:v>19.013788335691476</c:v>
                </c:pt>
                <c:pt idx="14">
                  <c:v>17.417575057875254</c:v>
                </c:pt>
                <c:pt idx="15">
                  <c:v>15.9013750890014</c:v>
                </c:pt>
                <c:pt idx="16">
                  <c:v>14.536109980668321</c:v>
                </c:pt>
                <c:pt idx="17">
                  <c:v>13.29510776441483</c:v>
                </c:pt>
                <c:pt idx="18">
                  <c:v>12.152042033890256</c:v>
                </c:pt>
                <c:pt idx="19">
                  <c:v>11.11003736630634</c:v>
                </c:pt>
                <c:pt idx="20">
                  <c:v>10.154262525168045</c:v>
                </c:pt>
                <c:pt idx="21">
                  <c:v>9.2790059501843363</c:v>
                </c:pt>
                <c:pt idx="22">
                  <c:v>8.5004953250436532</c:v>
                </c:pt>
                <c:pt idx="23">
                  <c:v>7.712924101223587</c:v>
                </c:pt>
                <c:pt idx="24">
                  <c:v>7.1138420144988572</c:v>
                </c:pt>
                <c:pt idx="25">
                  <c:v>6.4616072407950744</c:v>
                </c:pt>
                <c:pt idx="26">
                  <c:v>5.9214528109136548</c:v>
                </c:pt>
                <c:pt idx="27">
                  <c:v>5.4321437159433748</c:v>
                </c:pt>
                <c:pt idx="28">
                  <c:v>4.9617823536244359</c:v>
                </c:pt>
                <c:pt idx="29">
                  <c:v>4.5224574755300599</c:v>
                </c:pt>
                <c:pt idx="30">
                  <c:v>4.1369176090836763</c:v>
                </c:pt>
                <c:pt idx="31">
                  <c:v>3.7708526855820943</c:v>
                </c:pt>
                <c:pt idx="32">
                  <c:v>3.4455595279579638</c:v>
                </c:pt>
                <c:pt idx="33">
                  <c:v>3.1605303671942795</c:v>
                </c:pt>
                <c:pt idx="34">
                  <c:v>2.8006393563952687</c:v>
                </c:pt>
                <c:pt idx="35">
                  <c:v>2.6480952990121005</c:v>
                </c:pt>
                <c:pt idx="36">
                  <c:v>2.5201328506264602</c:v>
                </c:pt>
                <c:pt idx="37">
                  <c:v>2.2454192891690483</c:v>
                </c:pt>
                <c:pt idx="38">
                  <c:v>1.9211640472936993</c:v>
                </c:pt>
                <c:pt idx="39">
                  <c:v>1.7613804675158775</c:v>
                </c:pt>
                <c:pt idx="40">
                  <c:v>1.6621443876453206</c:v>
                </c:pt>
                <c:pt idx="41">
                  <c:v>1.5549136622239028</c:v>
                </c:pt>
                <c:pt idx="42">
                  <c:v>1.4010936311609772</c:v>
                </c:pt>
                <c:pt idx="43">
                  <c:v>1.2642401352195329</c:v>
                </c:pt>
                <c:pt idx="44">
                  <c:v>1.174689818577251</c:v>
                </c:pt>
                <c:pt idx="45">
                  <c:v>1.0531833816056324</c:v>
                </c:pt>
                <c:pt idx="46">
                  <c:v>0.97905757462097742</c:v>
                </c:pt>
                <c:pt idx="47">
                  <c:v>0.90615754255076608</c:v>
                </c:pt>
                <c:pt idx="48">
                  <c:v>0.81831318847205115</c:v>
                </c:pt>
                <c:pt idx="49">
                  <c:v>0.75466816358896105</c:v>
                </c:pt>
                <c:pt idx="50">
                  <c:v>0.69255853256923194</c:v>
                </c:pt>
                <c:pt idx="51">
                  <c:v>0.62732918316557817</c:v>
                </c:pt>
                <c:pt idx="52">
                  <c:v>0.57505351292180329</c:v>
                </c:pt>
                <c:pt idx="53">
                  <c:v>0.52792246974804169</c:v>
                </c:pt>
                <c:pt idx="54">
                  <c:v>0.48103280839774931</c:v>
                </c:pt>
                <c:pt idx="55">
                  <c:v>0.44178883451363099</c:v>
                </c:pt>
                <c:pt idx="56">
                  <c:v>0.40303466038234703</c:v>
                </c:pt>
                <c:pt idx="57">
                  <c:v>0.36723022475316891</c:v>
                </c:pt>
                <c:pt idx="58">
                  <c:v>0.33626571086909268</c:v>
                </c:pt>
                <c:pt idx="59">
                  <c:v>0.30715813343596565</c:v>
                </c:pt>
                <c:pt idx="60">
                  <c:v>0.28067539140354086</c:v>
                </c:pt>
                <c:pt idx="61">
                  <c:v>0.25678208591843094</c:v>
                </c:pt>
                <c:pt idx="62">
                  <c:v>0.23433119775872135</c:v>
                </c:pt>
                <c:pt idx="63">
                  <c:v>0.21366741444796339</c:v>
                </c:pt>
                <c:pt idx="64">
                  <c:v>0.1955998815708456</c:v>
                </c:pt>
                <c:pt idx="65">
                  <c:v>0.17873031528944253</c:v>
                </c:pt>
                <c:pt idx="66">
                  <c:v>0.16317484838806767</c:v>
                </c:pt>
                <c:pt idx="67">
                  <c:v>0.14947375976878308</c:v>
                </c:pt>
                <c:pt idx="68">
                  <c:v>0.13639406027617443</c:v>
                </c:pt>
                <c:pt idx="69">
                  <c:v>0.12464712724794688</c:v>
                </c:pt>
                <c:pt idx="70">
                  <c:v>0.1137879620370409</c:v>
                </c:pt>
                <c:pt idx="71">
                  <c:v>0.10386478218632443</c:v>
                </c:pt>
                <c:pt idx="72">
                  <c:v>9.5109738703247196E-2</c:v>
                </c:pt>
                <c:pt idx="73">
                  <c:v>8.7318737828864526E-2</c:v>
                </c:pt>
                <c:pt idx="74">
                  <c:v>7.9837744421990001E-2</c:v>
                </c:pt>
                <c:pt idx="75">
                  <c:v>7.2852851133149057E-2</c:v>
                </c:pt>
                <c:pt idx="76">
                  <c:v>6.6518115246436929E-2</c:v>
                </c:pt>
                <c:pt idx="77">
                  <c:v>6.0731243272834495E-2</c:v>
                </c:pt>
                <c:pt idx="78">
                  <c:v>5.5614429715942312E-2</c:v>
                </c:pt>
                <c:pt idx="79">
                  <c:v>5.0623733527062904E-2</c:v>
                </c:pt>
                <c:pt idx="80">
                  <c:v>4.6333623787687614E-2</c:v>
                </c:pt>
                <c:pt idx="81">
                  <c:v>4.2470001780195409E-2</c:v>
                </c:pt>
                <c:pt idx="82">
                  <c:v>3.871416060792289E-2</c:v>
                </c:pt>
                <c:pt idx="83">
                  <c:v>3.5415551936998836E-2</c:v>
                </c:pt>
                <c:pt idx="84">
                  <c:v>3.2402752422445523E-2</c:v>
                </c:pt>
                <c:pt idx="85">
                  <c:v>2.9586381602711192E-2</c:v>
                </c:pt>
                <c:pt idx="86">
                  <c:v>2.7048332855144224E-2</c:v>
                </c:pt>
                <c:pt idx="87">
                  <c:v>2.4720161185518869E-2</c:v>
                </c:pt>
                <c:pt idx="88">
                  <c:v>2.2585783936607231E-2</c:v>
                </c:pt>
                <c:pt idx="89">
                  <c:v>2.0659486436441714E-2</c:v>
                </c:pt>
                <c:pt idx="90">
                  <c:v>1.8911496575666799E-2</c:v>
                </c:pt>
                <c:pt idx="91">
                  <c:v>1.7272712556953514E-2</c:v>
                </c:pt>
                <c:pt idx="92">
                  <c:v>1.5785242775290125E-2</c:v>
                </c:pt>
                <c:pt idx="93">
                  <c:v>1.4419741129596876E-2</c:v>
                </c:pt>
                <c:pt idx="94">
                  <c:v>1.3193785885110929E-2</c:v>
                </c:pt>
                <c:pt idx="95">
                  <c:v>1.2050698074801346E-2</c:v>
                </c:pt>
                <c:pt idx="96">
                  <c:v>1.1020789570835743E-2</c:v>
                </c:pt>
                <c:pt idx="97">
                  <c:v>1.0076499886847135E-2</c:v>
                </c:pt>
                <c:pt idx="98">
                  <c:v>9.2052429938613463E-3</c:v>
                </c:pt>
                <c:pt idx="99">
                  <c:v>8.4120244390241058E-3</c:v>
                </c:pt>
                <c:pt idx="100">
                  <c:v>7.7045725885897167E-3</c:v>
                </c:pt>
                <c:pt idx="101">
                  <c:v>7.05238737283574E-3</c:v>
                </c:pt>
                <c:pt idx="102">
                  <c:v>6.4113563734750348E-3</c:v>
                </c:pt>
                <c:pt idx="103">
                  <c:v>5.8770842032862597E-3</c:v>
                </c:pt>
                <c:pt idx="104">
                  <c:v>5.3614529456814967E-3</c:v>
                </c:pt>
                <c:pt idx="105">
                  <c:v>4.9027947220928268E-3</c:v>
                </c:pt>
                <c:pt idx="106">
                  <c:v>4.4945487441561179E-3</c:v>
                </c:pt>
                <c:pt idx="107">
                  <c:v>4.1111506791425712E-3</c:v>
                </c:pt>
                <c:pt idx="108">
                  <c:v>3.7571375877605384E-3</c:v>
                </c:pt>
                <c:pt idx="109">
                  <c:v>3.4332981221523017E-3</c:v>
                </c:pt>
                <c:pt idx="110">
                  <c:v>3.128666279430909E-3</c:v>
                </c:pt>
                <c:pt idx="111">
                  <c:v>2.8651137897615611E-3</c:v>
                </c:pt>
                <c:pt idx="112">
                  <c:v>2.6197239706440847E-3</c:v>
                </c:pt>
                <c:pt idx="113">
                  <c:v>2.3942308576333027E-3</c:v>
                </c:pt>
                <c:pt idx="114">
                  <c:v>2.1886150302689316E-3</c:v>
                </c:pt>
                <c:pt idx="115">
                  <c:v>2.0022955203437853E-3</c:v>
                </c:pt>
                <c:pt idx="116">
                  <c:v>1.8304365610705827E-3</c:v>
                </c:pt>
                <c:pt idx="117">
                  <c:v>1.6736473112876713E-3</c:v>
                </c:pt>
                <c:pt idx="118">
                  <c:v>1.5420754446136646E-3</c:v>
                </c:pt>
              </c:numCache>
            </c:numRef>
          </c:xVal>
          <c:yVal>
            <c:numRef>
              <c:f>Table!$S$18:$S$136</c:f>
              <c:numCache>
                <c:formatCode>????0.000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3.3333333333333318E-3</c:v>
                </c:pt>
                <c:pt idx="33">
                  <c:v>4.166666666666664E-3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4.9999999999999975E-3</c:v>
                </c:pt>
                <c:pt idx="43">
                  <c:v>1.0833333333333327E-2</c:v>
                </c:pt>
                <c:pt idx="44">
                  <c:v>1.3333333333333327E-2</c:v>
                </c:pt>
                <c:pt idx="45">
                  <c:v>3.999999999999998E-2</c:v>
                </c:pt>
                <c:pt idx="46">
                  <c:v>3.7499999999999985E-2</c:v>
                </c:pt>
                <c:pt idx="47">
                  <c:v>5.9999999999999963E-2</c:v>
                </c:pt>
                <c:pt idx="48">
                  <c:v>0.25999999999999984</c:v>
                </c:pt>
                <c:pt idx="49">
                  <c:v>0.35583333333333306</c:v>
                </c:pt>
                <c:pt idx="50">
                  <c:v>0.55999999999999994</c:v>
                </c:pt>
                <c:pt idx="51">
                  <c:v>0.90999999999999936</c:v>
                </c:pt>
                <c:pt idx="52">
                  <c:v>0.95416666666666627</c:v>
                </c:pt>
                <c:pt idx="53">
                  <c:v>1</c:v>
                </c:pt>
                <c:pt idx="54">
                  <c:v>0.69499999999999884</c:v>
                </c:pt>
                <c:pt idx="55">
                  <c:v>0.3891666666666671</c:v>
                </c:pt>
                <c:pt idx="56">
                  <c:v>0.3591666666666658</c:v>
                </c:pt>
                <c:pt idx="57">
                  <c:v>0.32583333333333314</c:v>
                </c:pt>
                <c:pt idx="58">
                  <c:v>0.30916666666666676</c:v>
                </c:pt>
                <c:pt idx="59">
                  <c:v>0.29166666666666652</c:v>
                </c:pt>
                <c:pt idx="60">
                  <c:v>0.23916666666666639</c:v>
                </c:pt>
                <c:pt idx="61">
                  <c:v>0.23083333333333431</c:v>
                </c:pt>
                <c:pt idx="62">
                  <c:v>0.21750000000000005</c:v>
                </c:pt>
                <c:pt idx="63">
                  <c:v>0.23499999999999963</c:v>
                </c:pt>
                <c:pt idx="64">
                  <c:v>0.19666666666666621</c:v>
                </c:pt>
                <c:pt idx="65">
                  <c:v>0.21333333333333185</c:v>
                </c:pt>
                <c:pt idx="66">
                  <c:v>0.2108333333333344</c:v>
                </c:pt>
                <c:pt idx="67">
                  <c:v>0.18916666666666662</c:v>
                </c:pt>
                <c:pt idx="68">
                  <c:v>0.18499999999999986</c:v>
                </c:pt>
                <c:pt idx="69">
                  <c:v>0.17666666666666778</c:v>
                </c:pt>
                <c:pt idx="70">
                  <c:v>0.1791666666666652</c:v>
                </c:pt>
                <c:pt idx="71">
                  <c:v>0.18749999999999875</c:v>
                </c:pt>
                <c:pt idx="72">
                  <c:v>0.17250000000000246</c:v>
                </c:pt>
                <c:pt idx="73">
                  <c:v>0.15916666666666532</c:v>
                </c:pt>
                <c:pt idx="74">
                  <c:v>0.16250000000000106</c:v>
                </c:pt>
                <c:pt idx="75">
                  <c:v>0.15999999999999778</c:v>
                </c:pt>
                <c:pt idx="76">
                  <c:v>0.15500000000000144</c:v>
                </c:pt>
                <c:pt idx="77">
                  <c:v>0.1483333333333314</c:v>
                </c:pt>
                <c:pt idx="78">
                  <c:v>0.14250000000000115</c:v>
                </c:pt>
                <c:pt idx="79">
                  <c:v>0.14499999999999857</c:v>
                </c:pt>
                <c:pt idx="80">
                  <c:v>0.13583333333333547</c:v>
                </c:pt>
                <c:pt idx="81">
                  <c:v>0.12916666666666546</c:v>
                </c:pt>
                <c:pt idx="82">
                  <c:v>0.13333333333333366</c:v>
                </c:pt>
                <c:pt idx="83">
                  <c:v>0.12833333333333297</c:v>
                </c:pt>
                <c:pt idx="84">
                  <c:v>0.12000000000000088</c:v>
                </c:pt>
                <c:pt idx="85">
                  <c:v>0.12583333333333116</c:v>
                </c:pt>
                <c:pt idx="86">
                  <c:v>0.11916666666666841</c:v>
                </c:pt>
                <c:pt idx="87">
                  <c:v>0.11833333333333301</c:v>
                </c:pt>
                <c:pt idx="88">
                  <c:v>0.11666666666666806</c:v>
                </c:pt>
                <c:pt idx="89">
                  <c:v>0.11749999999999908</c:v>
                </c:pt>
                <c:pt idx="90">
                  <c:v>0.1116666666666659</c:v>
                </c:pt>
                <c:pt idx="91">
                  <c:v>0.11000000000000093</c:v>
                </c:pt>
                <c:pt idx="92">
                  <c:v>0.10583333333333271</c:v>
                </c:pt>
                <c:pt idx="93">
                  <c:v>0.10749999999999912</c:v>
                </c:pt>
                <c:pt idx="94">
                  <c:v>9.999999999999952E-2</c:v>
                </c:pt>
                <c:pt idx="95">
                  <c:v>9.0000000000001038E-2</c:v>
                </c:pt>
                <c:pt idx="96">
                  <c:v>9.4999999999998821E-2</c:v>
                </c:pt>
                <c:pt idx="97">
                  <c:v>8.5833333333332804E-2</c:v>
                </c:pt>
                <c:pt idx="98">
                  <c:v>8.0833333333333562E-2</c:v>
                </c:pt>
                <c:pt idx="99">
                  <c:v>7.5833333333334307E-2</c:v>
                </c:pt>
                <c:pt idx="100">
                  <c:v>7.0833333333333609E-2</c:v>
                </c:pt>
                <c:pt idx="101">
                  <c:v>6.9999999999999674E-2</c:v>
                </c:pt>
                <c:pt idx="102">
                  <c:v>6.9166666666665738E-2</c:v>
                </c:pt>
                <c:pt idx="103">
                  <c:v>5.9166666666668692E-2</c:v>
                </c:pt>
                <c:pt idx="104">
                  <c:v>5.2499999999998659E-2</c:v>
                </c:pt>
                <c:pt idx="105">
                  <c:v>4.7500000000000868E-2</c:v>
                </c:pt>
                <c:pt idx="106">
                  <c:v>4.1666666666666227E-2</c:v>
                </c:pt>
                <c:pt idx="107">
                  <c:v>3.9166666666667328E-2</c:v>
                </c:pt>
                <c:pt idx="108">
                  <c:v>3.5833333333333044E-2</c:v>
                </c:pt>
                <c:pt idx="109">
                  <c:v>3.3333333333332688E-2</c:v>
                </c:pt>
                <c:pt idx="110">
                  <c:v>2.7499999999999504E-2</c:v>
                </c:pt>
                <c:pt idx="111">
                  <c:v>2.416666666666813E-2</c:v>
                </c:pt>
                <c:pt idx="112">
                  <c:v>2.7499999999998047E-2</c:v>
                </c:pt>
                <c:pt idx="113">
                  <c:v>0</c:v>
                </c:pt>
                <c:pt idx="114">
                  <c:v>1.7499999999999554E-2</c:v>
                </c:pt>
                <c:pt idx="115">
                  <c:v>1.0833333333333889E-2</c:v>
                </c:pt>
                <c:pt idx="116">
                  <c:v>5.0000000000007053E-3</c:v>
                </c:pt>
                <c:pt idx="117">
                  <c:v>0</c:v>
                </c:pt>
                <c:pt idx="118">
                  <c:v>5.0000000000007053E-3</c:v>
                </c:pt>
              </c:numCache>
            </c:numRef>
          </c:yVal>
          <c:smooth val="1"/>
        </c:ser>
        <c:ser>
          <c:idx val="1"/>
          <c:order val="1"/>
          <c:tx>
            <c:v>Normalized Permeability</c:v>
          </c:tx>
          <c:marker>
            <c:symbol val="circle"/>
            <c:size val="5"/>
          </c:marker>
          <c:xVal>
            <c:numRef>
              <c:f>Table!$E$18:$E$136</c:f>
              <c:numCache>
                <c:formatCode>???0.000</c:formatCode>
                <c:ptCount val="119"/>
                <c:pt idx="0">
                  <c:v>60.781227612652074</c:v>
                </c:pt>
                <c:pt idx="1">
                  <c:v>57.320493578951428</c:v>
                </c:pt>
                <c:pt idx="2">
                  <c:v>50.72688244685839</c:v>
                </c:pt>
                <c:pt idx="3">
                  <c:v>45.611810274568903</c:v>
                </c:pt>
                <c:pt idx="4">
                  <c:v>42.3386104707592</c:v>
                </c:pt>
                <c:pt idx="5">
                  <c:v>38.870150903397715</c:v>
                </c:pt>
                <c:pt idx="6">
                  <c:v>35.575738042982351</c:v>
                </c:pt>
                <c:pt idx="7">
                  <c:v>32.596482624887393</c:v>
                </c:pt>
                <c:pt idx="8">
                  <c:v>29.749822648243253</c:v>
                </c:pt>
                <c:pt idx="9">
                  <c:v>27.064754655162208</c:v>
                </c:pt>
                <c:pt idx="10">
                  <c:v>24.825340863813718</c:v>
                </c:pt>
                <c:pt idx="11">
                  <c:v>22.693604123131678</c:v>
                </c:pt>
                <c:pt idx="12">
                  <c:v>20.73829897990797</c:v>
                </c:pt>
                <c:pt idx="13">
                  <c:v>19.013788335691476</c:v>
                </c:pt>
                <c:pt idx="14">
                  <c:v>17.417575057875254</c:v>
                </c:pt>
                <c:pt idx="15">
                  <c:v>15.9013750890014</c:v>
                </c:pt>
                <c:pt idx="16">
                  <c:v>14.536109980668321</c:v>
                </c:pt>
                <c:pt idx="17">
                  <c:v>13.29510776441483</c:v>
                </c:pt>
                <c:pt idx="18">
                  <c:v>12.152042033890256</c:v>
                </c:pt>
                <c:pt idx="19">
                  <c:v>11.11003736630634</c:v>
                </c:pt>
                <c:pt idx="20">
                  <c:v>10.154262525168045</c:v>
                </c:pt>
                <c:pt idx="21">
                  <c:v>9.2790059501843363</c:v>
                </c:pt>
                <c:pt idx="22">
                  <c:v>8.5004953250436532</c:v>
                </c:pt>
                <c:pt idx="23">
                  <c:v>7.712924101223587</c:v>
                </c:pt>
                <c:pt idx="24">
                  <c:v>7.1138420144988572</c:v>
                </c:pt>
                <c:pt idx="25">
                  <c:v>6.4616072407950744</c:v>
                </c:pt>
                <c:pt idx="26">
                  <c:v>5.9214528109136548</c:v>
                </c:pt>
                <c:pt idx="27">
                  <c:v>5.4321437159433748</c:v>
                </c:pt>
                <c:pt idx="28">
                  <c:v>4.9617823536244359</c:v>
                </c:pt>
                <c:pt idx="29">
                  <c:v>4.5224574755300599</c:v>
                </c:pt>
                <c:pt idx="30">
                  <c:v>4.1369176090836763</c:v>
                </c:pt>
                <c:pt idx="31">
                  <c:v>3.7708526855820943</c:v>
                </c:pt>
                <c:pt idx="32">
                  <c:v>3.4455595279579638</c:v>
                </c:pt>
                <c:pt idx="33">
                  <c:v>3.1605303671942795</c:v>
                </c:pt>
                <c:pt idx="34">
                  <c:v>2.8006393563952687</c:v>
                </c:pt>
                <c:pt idx="35">
                  <c:v>2.6480952990121005</c:v>
                </c:pt>
                <c:pt idx="36">
                  <c:v>2.5201328506264602</c:v>
                </c:pt>
                <c:pt idx="37">
                  <c:v>2.2454192891690483</c:v>
                </c:pt>
                <c:pt idx="38">
                  <c:v>1.9211640472936993</c:v>
                </c:pt>
                <c:pt idx="39">
                  <c:v>1.7613804675158775</c:v>
                </c:pt>
                <c:pt idx="40">
                  <c:v>1.6621443876453206</c:v>
                </c:pt>
                <c:pt idx="41">
                  <c:v>1.5549136622239028</c:v>
                </c:pt>
                <c:pt idx="42">
                  <c:v>1.4010936311609772</c:v>
                </c:pt>
                <c:pt idx="43">
                  <c:v>1.2642401352195329</c:v>
                </c:pt>
                <c:pt idx="44">
                  <c:v>1.174689818577251</c:v>
                </c:pt>
                <c:pt idx="45">
                  <c:v>1.0531833816056324</c:v>
                </c:pt>
                <c:pt idx="46">
                  <c:v>0.97905757462097742</c:v>
                </c:pt>
                <c:pt idx="47">
                  <c:v>0.90615754255076608</c:v>
                </c:pt>
                <c:pt idx="48">
                  <c:v>0.81831318847205115</c:v>
                </c:pt>
                <c:pt idx="49">
                  <c:v>0.75466816358896105</c:v>
                </c:pt>
                <c:pt idx="50">
                  <c:v>0.69255853256923194</c:v>
                </c:pt>
                <c:pt idx="51">
                  <c:v>0.62732918316557817</c:v>
                </c:pt>
                <c:pt idx="52">
                  <c:v>0.57505351292180329</c:v>
                </c:pt>
                <c:pt idx="53">
                  <c:v>0.52792246974804169</c:v>
                </c:pt>
                <c:pt idx="54">
                  <c:v>0.48103280839774931</c:v>
                </c:pt>
                <c:pt idx="55">
                  <c:v>0.44178883451363099</c:v>
                </c:pt>
                <c:pt idx="56">
                  <c:v>0.40303466038234703</c:v>
                </c:pt>
                <c:pt idx="57">
                  <c:v>0.36723022475316891</c:v>
                </c:pt>
                <c:pt idx="58">
                  <c:v>0.33626571086909268</c:v>
                </c:pt>
                <c:pt idx="59">
                  <c:v>0.30715813343596565</c:v>
                </c:pt>
                <c:pt idx="60">
                  <c:v>0.28067539140354086</c:v>
                </c:pt>
                <c:pt idx="61">
                  <c:v>0.25678208591843094</c:v>
                </c:pt>
                <c:pt idx="62">
                  <c:v>0.23433119775872135</c:v>
                </c:pt>
                <c:pt idx="63">
                  <c:v>0.21366741444796339</c:v>
                </c:pt>
                <c:pt idx="64">
                  <c:v>0.1955998815708456</c:v>
                </c:pt>
                <c:pt idx="65">
                  <c:v>0.17873031528944253</c:v>
                </c:pt>
                <c:pt idx="66">
                  <c:v>0.16317484838806767</c:v>
                </c:pt>
                <c:pt idx="67">
                  <c:v>0.14947375976878308</c:v>
                </c:pt>
                <c:pt idx="68">
                  <c:v>0.13639406027617443</c:v>
                </c:pt>
                <c:pt idx="69">
                  <c:v>0.12464712724794688</c:v>
                </c:pt>
                <c:pt idx="70">
                  <c:v>0.1137879620370409</c:v>
                </c:pt>
                <c:pt idx="71">
                  <c:v>0.10386478218632443</c:v>
                </c:pt>
                <c:pt idx="72">
                  <c:v>9.5109738703247196E-2</c:v>
                </c:pt>
                <c:pt idx="73">
                  <c:v>8.7318737828864526E-2</c:v>
                </c:pt>
                <c:pt idx="74">
                  <c:v>7.9837744421990001E-2</c:v>
                </c:pt>
                <c:pt idx="75">
                  <c:v>7.2852851133149057E-2</c:v>
                </c:pt>
                <c:pt idx="76">
                  <c:v>6.6518115246436929E-2</c:v>
                </c:pt>
                <c:pt idx="77">
                  <c:v>6.0731243272834495E-2</c:v>
                </c:pt>
                <c:pt idx="78">
                  <c:v>5.5614429715942312E-2</c:v>
                </c:pt>
                <c:pt idx="79">
                  <c:v>5.0623733527062904E-2</c:v>
                </c:pt>
                <c:pt idx="80">
                  <c:v>4.6333623787687614E-2</c:v>
                </c:pt>
                <c:pt idx="81">
                  <c:v>4.2470001780195409E-2</c:v>
                </c:pt>
                <c:pt idx="82">
                  <c:v>3.871416060792289E-2</c:v>
                </c:pt>
                <c:pt idx="83">
                  <c:v>3.5415551936998836E-2</c:v>
                </c:pt>
                <c:pt idx="84">
                  <c:v>3.2402752422445523E-2</c:v>
                </c:pt>
                <c:pt idx="85">
                  <c:v>2.9586381602711192E-2</c:v>
                </c:pt>
                <c:pt idx="86">
                  <c:v>2.7048332855144224E-2</c:v>
                </c:pt>
                <c:pt idx="87">
                  <c:v>2.4720161185518869E-2</c:v>
                </c:pt>
                <c:pt idx="88">
                  <c:v>2.2585783936607231E-2</c:v>
                </c:pt>
                <c:pt idx="89">
                  <c:v>2.0659486436441714E-2</c:v>
                </c:pt>
                <c:pt idx="90">
                  <c:v>1.8911496575666799E-2</c:v>
                </c:pt>
                <c:pt idx="91">
                  <c:v>1.7272712556953514E-2</c:v>
                </c:pt>
                <c:pt idx="92">
                  <c:v>1.5785242775290125E-2</c:v>
                </c:pt>
                <c:pt idx="93">
                  <c:v>1.4419741129596876E-2</c:v>
                </c:pt>
                <c:pt idx="94">
                  <c:v>1.3193785885110929E-2</c:v>
                </c:pt>
                <c:pt idx="95">
                  <c:v>1.2050698074801346E-2</c:v>
                </c:pt>
                <c:pt idx="96">
                  <c:v>1.1020789570835743E-2</c:v>
                </c:pt>
                <c:pt idx="97">
                  <c:v>1.0076499886847135E-2</c:v>
                </c:pt>
                <c:pt idx="98">
                  <c:v>9.2052429938613463E-3</c:v>
                </c:pt>
                <c:pt idx="99">
                  <c:v>8.4120244390241058E-3</c:v>
                </c:pt>
                <c:pt idx="100">
                  <c:v>7.7045725885897167E-3</c:v>
                </c:pt>
                <c:pt idx="101">
                  <c:v>7.05238737283574E-3</c:v>
                </c:pt>
                <c:pt idx="102">
                  <c:v>6.4113563734750348E-3</c:v>
                </c:pt>
                <c:pt idx="103">
                  <c:v>5.8770842032862597E-3</c:v>
                </c:pt>
                <c:pt idx="104">
                  <c:v>5.3614529456814967E-3</c:v>
                </c:pt>
                <c:pt idx="105">
                  <c:v>4.9027947220928268E-3</c:v>
                </c:pt>
                <c:pt idx="106">
                  <c:v>4.4945487441561179E-3</c:v>
                </c:pt>
                <c:pt idx="107">
                  <c:v>4.1111506791425712E-3</c:v>
                </c:pt>
                <c:pt idx="108">
                  <c:v>3.7571375877605384E-3</c:v>
                </c:pt>
                <c:pt idx="109">
                  <c:v>3.4332981221523017E-3</c:v>
                </c:pt>
                <c:pt idx="110">
                  <c:v>3.128666279430909E-3</c:v>
                </c:pt>
                <c:pt idx="111">
                  <c:v>2.8651137897615611E-3</c:v>
                </c:pt>
                <c:pt idx="112">
                  <c:v>2.6197239706440847E-3</c:v>
                </c:pt>
                <c:pt idx="113">
                  <c:v>2.3942308576333027E-3</c:v>
                </c:pt>
                <c:pt idx="114">
                  <c:v>2.1886150302689316E-3</c:v>
                </c:pt>
                <c:pt idx="115">
                  <c:v>2.0022955203437853E-3</c:v>
                </c:pt>
                <c:pt idx="116">
                  <c:v>1.8304365610705827E-3</c:v>
                </c:pt>
                <c:pt idx="117">
                  <c:v>1.6736473112876713E-3</c:v>
                </c:pt>
                <c:pt idx="118">
                  <c:v>1.5420754446136646E-3</c:v>
                </c:pt>
              </c:numCache>
            </c:numRef>
          </c:xVal>
          <c:yVal>
            <c:numRef>
              <c:f>Table!$T$18:$T$136</c:f>
              <c:numCache>
                <c:formatCode>????0.000</c:formatCode>
                <c:ptCount val="1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0.9831982770830765</c:v>
                </c:pt>
                <c:pt idx="33">
                  <c:v>0.96552714995169753</c:v>
                </c:pt>
                <c:pt idx="34">
                  <c:v>0.96552714995169753</c:v>
                </c:pt>
                <c:pt idx="35">
                  <c:v>0.96552714995169753</c:v>
                </c:pt>
                <c:pt idx="36">
                  <c:v>0.96552714995169753</c:v>
                </c:pt>
                <c:pt idx="37">
                  <c:v>0.96552714995169753</c:v>
                </c:pt>
                <c:pt idx="38">
                  <c:v>0.96552714995169753</c:v>
                </c:pt>
                <c:pt idx="39">
                  <c:v>0.96552714995169753</c:v>
                </c:pt>
                <c:pt idx="40">
                  <c:v>0.96552714995169753</c:v>
                </c:pt>
                <c:pt idx="41">
                  <c:v>0.96552714995169753</c:v>
                </c:pt>
                <c:pt idx="42">
                  <c:v>0.96135980087746653</c:v>
                </c:pt>
                <c:pt idx="43">
                  <c:v>0.9540082864918602</c:v>
                </c:pt>
                <c:pt idx="44">
                  <c:v>0.94619667377321492</c:v>
                </c:pt>
                <c:pt idx="45">
                  <c:v>0.92735916165458254</c:v>
                </c:pt>
                <c:pt idx="46">
                  <c:v>0.91209744840909257</c:v>
                </c:pt>
                <c:pt idx="47">
                  <c:v>0.89117973406609574</c:v>
                </c:pt>
                <c:pt idx="48">
                  <c:v>0.81725870447187066</c:v>
                </c:pt>
                <c:pt idx="49">
                  <c:v>0.73121596177188275</c:v>
                </c:pt>
                <c:pt idx="50">
                  <c:v>0.61717613375875202</c:v>
                </c:pt>
                <c:pt idx="51">
                  <c:v>0.46512560565265459</c:v>
                </c:pt>
                <c:pt idx="52">
                  <c:v>0.3311590719720493</c:v>
                </c:pt>
                <c:pt idx="53">
                  <c:v>0.21282880285216332</c:v>
                </c:pt>
                <c:pt idx="54">
                  <c:v>0.14454939301221414</c:v>
                </c:pt>
                <c:pt idx="55">
                  <c:v>0.11230006543032889</c:v>
                </c:pt>
                <c:pt idx="56">
                  <c:v>8.7529474059226509E-2</c:v>
                </c:pt>
                <c:pt idx="57">
                  <c:v>6.8873071408853681E-2</c:v>
                </c:pt>
                <c:pt idx="58">
                  <c:v>5.4030354975062811E-2</c:v>
                </c:pt>
                <c:pt idx="59">
                  <c:v>4.234703164092124E-2</c:v>
                </c:pt>
                <c:pt idx="60">
                  <c:v>3.4347494067030415E-2</c:v>
                </c:pt>
                <c:pt idx="61">
                  <c:v>2.7885247478460662E-2</c:v>
                </c:pt>
                <c:pt idx="62">
                  <c:v>2.2814464263216649E-2</c:v>
                </c:pt>
                <c:pt idx="63">
                  <c:v>1.8259342299117187E-2</c:v>
                </c:pt>
                <c:pt idx="64">
                  <c:v>1.5064690788323065E-2</c:v>
                </c:pt>
                <c:pt idx="65">
                  <c:v>1.2171275843704144E-2</c:v>
                </c:pt>
                <c:pt idx="66">
                  <c:v>9.7878520593920326E-3</c:v>
                </c:pt>
                <c:pt idx="67">
                  <c:v>7.9934073289145147E-3</c:v>
                </c:pt>
                <c:pt idx="68">
                  <c:v>6.5321785993752712E-3</c:v>
                </c:pt>
                <c:pt idx="69">
                  <c:v>5.3667793865540547E-3</c:v>
                </c:pt>
                <c:pt idx="70">
                  <c:v>4.38184928566554E-3</c:v>
                </c:pt>
                <c:pt idx="71">
                  <c:v>3.5230464702877828E-3</c:v>
                </c:pt>
                <c:pt idx="72">
                  <c:v>2.8605331194344608E-3</c:v>
                </c:pt>
                <c:pt idx="73">
                  <c:v>2.3452776883623461E-3</c:v>
                </c:pt>
                <c:pt idx="74">
                  <c:v>1.9055078490494148E-3</c:v>
                </c:pt>
                <c:pt idx="75">
                  <c:v>1.5449552369438679E-3</c:v>
                </c:pt>
                <c:pt idx="76">
                  <c:v>1.2537714923728238E-3</c:v>
                </c:pt>
                <c:pt idx="77">
                  <c:v>1.0214878335332855E-3</c:v>
                </c:pt>
                <c:pt idx="78">
                  <c:v>8.3435697984857171E-4</c:v>
                </c:pt>
                <c:pt idx="79">
                  <c:v>6.7658426335104327E-4</c:v>
                </c:pt>
                <c:pt idx="80">
                  <c:v>5.5277462572733693E-4</c:v>
                </c:pt>
                <c:pt idx="81">
                  <c:v>4.5385770950889803E-4</c:v>
                </c:pt>
                <c:pt idx="82">
                  <c:v>3.6901119826571183E-4</c:v>
                </c:pt>
                <c:pt idx="83">
                  <c:v>3.006699256378198E-4</c:v>
                </c:pt>
                <c:pt idx="84">
                  <c:v>2.4717647551264488E-4</c:v>
                </c:pt>
                <c:pt idx="85">
                  <c:v>2.0040996478531969E-4</c:v>
                </c:pt>
                <c:pt idx="86">
                  <c:v>1.6339380562502281E-4</c:v>
                </c:pt>
                <c:pt idx="87">
                  <c:v>1.326919056259257E-4</c:v>
                </c:pt>
                <c:pt idx="88">
                  <c:v>1.0742379985784201E-4</c:v>
                </c:pt>
                <c:pt idx="89">
                  <c:v>8.6131014927381955E-5</c:v>
                </c:pt>
                <c:pt idx="90">
                  <c:v>6.9174722131193356E-5</c:v>
                </c:pt>
                <c:pt idx="91">
                  <c:v>5.524092975972561E-5</c:v>
                </c:pt>
                <c:pt idx="92">
                  <c:v>4.4044474105664477E-5</c:v>
                </c:pt>
                <c:pt idx="93">
                  <c:v>3.4554195768921048E-5</c:v>
                </c:pt>
                <c:pt idx="94">
                  <c:v>2.7163345197367406E-5</c:v>
                </c:pt>
                <c:pt idx="95">
                  <c:v>2.161424612678875E-5</c:v>
                </c:pt>
                <c:pt idx="96">
                  <c:v>1.6715278342016582E-5</c:v>
                </c:pt>
                <c:pt idx="97">
                  <c:v>1.3015029380558651E-5</c:v>
                </c:pt>
                <c:pt idx="98">
                  <c:v>1.0106881005222945E-5</c:v>
                </c:pt>
                <c:pt idx="99">
                  <c:v>7.8285503387620636E-6</c:v>
                </c:pt>
                <c:pt idx="100">
                  <c:v>6.0433361079859083E-6</c:v>
                </c:pt>
                <c:pt idx="101">
                  <c:v>4.5651608918673148E-6</c:v>
                </c:pt>
                <c:pt idx="102">
                  <c:v>3.358035904899026E-6</c:v>
                </c:pt>
                <c:pt idx="103">
                  <c:v>2.490362098872545E-6</c:v>
                </c:pt>
                <c:pt idx="104">
                  <c:v>1.8496250168142936E-6</c:v>
                </c:pt>
                <c:pt idx="105">
                  <c:v>1.3648540660993191E-6</c:v>
                </c:pt>
                <c:pt idx="106">
                  <c:v>1.007485371240513E-6</c:v>
                </c:pt>
                <c:pt idx="107">
                  <c:v>7.2642542492395989E-7</c:v>
                </c:pt>
                <c:pt idx="108">
                  <c:v>5.1166365910848555E-7</c:v>
                </c:pt>
                <c:pt idx="109">
                  <c:v>3.4484011801616532E-7</c:v>
                </c:pt>
                <c:pt idx="110">
                  <c:v>2.3055051223686007E-7</c:v>
                </c:pt>
                <c:pt idx="111">
                  <c:v>1.4632259526248248E-7</c:v>
                </c:pt>
                <c:pt idx="112">
                  <c:v>6.6191824577011005E-8</c:v>
                </c:pt>
                <c:pt idx="113">
                  <c:v>6.6191824577011005E-8</c:v>
                </c:pt>
                <c:pt idx="114">
                  <c:v>3.0601466249891018E-8</c:v>
                </c:pt>
                <c:pt idx="115">
                  <c:v>1.2160910056735474E-8</c:v>
                </c:pt>
                <c:pt idx="116">
                  <c:v>5.048202855739703E-9</c:v>
                </c:pt>
                <c:pt idx="117">
                  <c:v>5.048202855739703E-9</c:v>
                </c:pt>
                <c:pt idx="118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7995648"/>
        <c:axId val="227997568"/>
      </c:scatterChart>
      <c:valAx>
        <c:axId val="227995648"/>
        <c:scaling>
          <c:logBase val="10"/>
          <c:orientation val="minMax"/>
          <c:max val="100"/>
          <c:min val="1.0000000000000041E-3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Pore Throat Radius (microns)</a:t>
                </a:r>
              </a:p>
            </c:rich>
          </c:tx>
          <c:layout>
            <c:manualLayout>
              <c:xMode val="edge"/>
              <c:yMode val="edge"/>
              <c:x val="0.37003231262758834"/>
              <c:y val="0.9257746022488091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>
                <a:latin typeface="Arial"/>
              </a:defRPr>
            </a:pPr>
            <a:endParaRPr lang="en-US"/>
          </a:p>
        </c:txPr>
        <c:crossAx val="227997568"/>
        <c:crosses val="autoZero"/>
        <c:crossBetween val="midCat"/>
      </c:valAx>
      <c:valAx>
        <c:axId val="227997568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Distribution Function</a:t>
                </a:r>
              </a:p>
            </c:rich>
          </c:tx>
          <c:layout>
            <c:manualLayout>
              <c:xMode val="edge"/>
              <c:yMode val="edge"/>
              <c:x val="1.753793951647354E-2"/>
              <c:y val="0.414806277095512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>
                <a:latin typeface="Arial"/>
              </a:defRPr>
            </a:pPr>
            <a:endParaRPr lang="en-US"/>
          </a:p>
        </c:txPr>
        <c:crossAx val="227995648"/>
        <c:crossesAt val="1.0000000000000041E-3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1677187322108751"/>
          <c:y val="0.16239996259681297"/>
          <c:w val="0.33481595735151376"/>
          <c:h val="0.19742154872150416"/>
        </c:manualLayout>
      </c:layout>
      <c:overlay val="0"/>
      <c:spPr>
        <a:solidFill>
          <a:srgbClr val="FFFFFF"/>
        </a:solidFill>
        <a:ln>
          <a:solidFill>
            <a:sysClr val="windowText" lastClr="000000"/>
          </a:solidFill>
        </a:ln>
      </c:spPr>
    </c:legend>
    <c:plotVisOnly val="1"/>
    <c:dispBlanksAs val="gap"/>
    <c:showDLblsOverMax val="0"/>
  </c:chart>
  <c:spPr>
    <a:solidFill>
      <a:schemeClr val="lt2"/>
    </a:solidFill>
    <a:ln w="3175">
      <a:solidFill>
        <a:sysClr val="windowText" lastClr="000000"/>
      </a:solidFill>
    </a:ln>
  </c:spPr>
  <c:txPr>
    <a:bodyPr/>
    <a:lstStyle/>
    <a:p>
      <a:pPr>
        <a:defRPr sz="800">
          <a:solidFill>
            <a:srgbClr val="000000"/>
          </a:solidFill>
          <a:latin typeface="Times New Roman"/>
        </a:defRPr>
      </a:pPr>
      <a:endParaRPr lang="en-US"/>
    </a:p>
  </c:txPr>
  <c:printSettings>
    <c:headerFooter/>
    <c:pageMargins b="1" l="0.75000000000000866" r="0.75000000000000866" t="1" header="0.5" footer="0.5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1059498670579271"/>
          <c:y val="0.15326975675683863"/>
          <c:w val="0.82827901825522265"/>
          <c:h val="0.72458777553660758"/>
        </c:manualLayout>
      </c:layout>
      <c:scatterChart>
        <c:scatterStyle val="lineMarker"/>
        <c:varyColors val="0"/>
        <c:ser>
          <c:idx val="0"/>
          <c:order val="0"/>
          <c:spPr>
            <a:ln w="15875">
              <a:solidFill>
                <a:schemeClr val="dk2">
                  <a:lumMod val="50000"/>
                </a:schemeClr>
              </a:solidFill>
            </a:ln>
          </c:spPr>
          <c:marker>
            <c:symbol val="circle"/>
            <c:size val="5"/>
            <c:spPr>
              <a:solidFill>
                <a:schemeClr val="dk2">
                  <a:lumMod val="60000"/>
                  <a:lumOff val="40000"/>
                </a:schemeClr>
              </a:solidFill>
              <a:ln>
                <a:solidFill>
                  <a:schemeClr val="dk2">
                    <a:lumMod val="50000"/>
                  </a:schemeClr>
                </a:solidFill>
              </a:ln>
            </c:spPr>
          </c:marker>
          <c:xVal>
            <c:numRef>
              <c:f>Table!$F$18:$F$136</c:f>
              <c:numCache>
                <c:formatCode>???0.000</c:formatCode>
                <c:ptCount val="119"/>
                <c:pt idx="0">
                  <c:v>121.56245522530415</c:v>
                </c:pt>
                <c:pt idx="1">
                  <c:v>114.64098715790286</c:v>
                </c:pt>
                <c:pt idx="2">
                  <c:v>101.45376489371678</c:v>
                </c:pt>
                <c:pt idx="3">
                  <c:v>91.223620549137806</c:v>
                </c:pt>
                <c:pt idx="4">
                  <c:v>84.677220941518399</c:v>
                </c:pt>
                <c:pt idx="5">
                  <c:v>77.740301806795429</c:v>
                </c:pt>
                <c:pt idx="6">
                  <c:v>71.151476085964703</c:v>
                </c:pt>
                <c:pt idx="7">
                  <c:v>65.192965249774787</c:v>
                </c:pt>
                <c:pt idx="8">
                  <c:v>59.499645296486506</c:v>
                </c:pt>
                <c:pt idx="9">
                  <c:v>54.129509310324416</c:v>
                </c:pt>
                <c:pt idx="10">
                  <c:v>49.650681727627436</c:v>
                </c:pt>
                <c:pt idx="11">
                  <c:v>45.387208246263356</c:v>
                </c:pt>
                <c:pt idx="12">
                  <c:v>41.47659795981594</c:v>
                </c:pt>
                <c:pt idx="13">
                  <c:v>38.027576671382953</c:v>
                </c:pt>
                <c:pt idx="14">
                  <c:v>34.835150115750508</c:v>
                </c:pt>
                <c:pt idx="15">
                  <c:v>31.8027501780028</c:v>
                </c:pt>
                <c:pt idx="16">
                  <c:v>29.072219961336643</c:v>
                </c:pt>
                <c:pt idx="17">
                  <c:v>26.59021552882966</c:v>
                </c:pt>
                <c:pt idx="18">
                  <c:v>24.304084067780511</c:v>
                </c:pt>
                <c:pt idx="19">
                  <c:v>22.22007473261268</c:v>
                </c:pt>
                <c:pt idx="20">
                  <c:v>20.30852505033609</c:v>
                </c:pt>
                <c:pt idx="21">
                  <c:v>18.558011900368673</c:v>
                </c:pt>
                <c:pt idx="22">
                  <c:v>17.000990650087306</c:v>
                </c:pt>
                <c:pt idx="23">
                  <c:v>15.425848202447174</c:v>
                </c:pt>
                <c:pt idx="24">
                  <c:v>14.227684028997714</c:v>
                </c:pt>
                <c:pt idx="25">
                  <c:v>12.923214481590149</c:v>
                </c:pt>
                <c:pt idx="26">
                  <c:v>11.84290562182731</c:v>
                </c:pt>
                <c:pt idx="27">
                  <c:v>10.86428743188675</c:v>
                </c:pt>
                <c:pt idx="28">
                  <c:v>9.9235647072488717</c:v>
                </c:pt>
                <c:pt idx="29">
                  <c:v>9.0449149510601199</c:v>
                </c:pt>
                <c:pt idx="30">
                  <c:v>8.2738352181673527</c:v>
                </c:pt>
                <c:pt idx="31">
                  <c:v>7.5417053711641886</c:v>
                </c:pt>
                <c:pt idx="32">
                  <c:v>6.8911190559159277</c:v>
                </c:pt>
                <c:pt idx="33">
                  <c:v>6.321060734388559</c:v>
                </c:pt>
                <c:pt idx="34">
                  <c:v>5.6012787127905375</c:v>
                </c:pt>
                <c:pt idx="35">
                  <c:v>5.296190598024201</c:v>
                </c:pt>
                <c:pt idx="36">
                  <c:v>5.0402657012529204</c:v>
                </c:pt>
                <c:pt idx="37">
                  <c:v>4.4908385783380966</c:v>
                </c:pt>
                <c:pt idx="38">
                  <c:v>3.8423280945873985</c:v>
                </c:pt>
                <c:pt idx="39">
                  <c:v>3.522760935031755</c:v>
                </c:pt>
                <c:pt idx="40">
                  <c:v>3.3242887752906412</c:v>
                </c:pt>
                <c:pt idx="41">
                  <c:v>3.1098273244478056</c:v>
                </c:pt>
                <c:pt idx="42">
                  <c:v>2.8021872623219544</c:v>
                </c:pt>
                <c:pt idx="43">
                  <c:v>2.5284802704390659</c:v>
                </c:pt>
                <c:pt idx="44">
                  <c:v>2.3493796371545019</c:v>
                </c:pt>
                <c:pt idx="45">
                  <c:v>2.1063667632112648</c:v>
                </c:pt>
                <c:pt idx="46">
                  <c:v>1.9581151492419548</c:v>
                </c:pt>
                <c:pt idx="47">
                  <c:v>1.8123150851015322</c:v>
                </c:pt>
                <c:pt idx="48">
                  <c:v>1.6366263769441023</c:v>
                </c:pt>
                <c:pt idx="49">
                  <c:v>1.5093363271779221</c:v>
                </c:pt>
                <c:pt idx="50">
                  <c:v>1.3851170651384639</c:v>
                </c:pt>
                <c:pt idx="51">
                  <c:v>1.2546583663311563</c:v>
                </c:pt>
                <c:pt idx="52">
                  <c:v>1.1501070258436066</c:v>
                </c:pt>
                <c:pt idx="53">
                  <c:v>1.0558449394960834</c:v>
                </c:pt>
                <c:pt idx="54">
                  <c:v>0.96206561679549862</c:v>
                </c:pt>
                <c:pt idx="55">
                  <c:v>0.88357766902726198</c:v>
                </c:pt>
                <c:pt idx="56">
                  <c:v>0.80606932076469406</c:v>
                </c:pt>
                <c:pt idx="57">
                  <c:v>0.73446044950633782</c:v>
                </c:pt>
                <c:pt idx="58">
                  <c:v>0.67253142173818536</c:v>
                </c:pt>
                <c:pt idx="59">
                  <c:v>0.6143162668719313</c:v>
                </c:pt>
                <c:pt idx="60">
                  <c:v>0.56135078280708173</c:v>
                </c:pt>
                <c:pt idx="61">
                  <c:v>0.51356417183686187</c:v>
                </c:pt>
                <c:pt idx="62">
                  <c:v>0.46866239551744271</c:v>
                </c:pt>
                <c:pt idx="63">
                  <c:v>0.42733482889592678</c:v>
                </c:pt>
                <c:pt idx="64">
                  <c:v>0.39119976314169119</c:v>
                </c:pt>
                <c:pt idx="65">
                  <c:v>0.35746063057888505</c:v>
                </c:pt>
                <c:pt idx="66">
                  <c:v>0.32634969677613535</c:v>
                </c:pt>
                <c:pt idx="67">
                  <c:v>0.29894751953756615</c:v>
                </c:pt>
                <c:pt idx="68">
                  <c:v>0.27278812055234886</c:v>
                </c:pt>
                <c:pt idx="69">
                  <c:v>0.24929425449589376</c:v>
                </c:pt>
                <c:pt idx="70">
                  <c:v>0.22757592407408181</c:v>
                </c:pt>
                <c:pt idx="71">
                  <c:v>0.20772956437264886</c:v>
                </c:pt>
                <c:pt idx="72">
                  <c:v>0.19021947740649439</c:v>
                </c:pt>
                <c:pt idx="73">
                  <c:v>0.17463747565772905</c:v>
                </c:pt>
                <c:pt idx="74">
                  <c:v>0.15967548884398</c:v>
                </c:pt>
                <c:pt idx="75">
                  <c:v>0.14570570226629811</c:v>
                </c:pt>
                <c:pt idx="76">
                  <c:v>0.13303623049287386</c:v>
                </c:pt>
                <c:pt idx="77">
                  <c:v>0.12146248654566899</c:v>
                </c:pt>
                <c:pt idx="78">
                  <c:v>0.11122885943188462</c:v>
                </c:pt>
                <c:pt idx="79">
                  <c:v>0.10124746705412581</c:v>
                </c:pt>
                <c:pt idx="80">
                  <c:v>9.2667247575375228E-2</c:v>
                </c:pt>
                <c:pt idx="81">
                  <c:v>8.4940003560390817E-2</c:v>
                </c:pt>
                <c:pt idx="82">
                  <c:v>7.742832121584578E-2</c:v>
                </c:pt>
                <c:pt idx="83">
                  <c:v>7.0831103873997672E-2</c:v>
                </c:pt>
                <c:pt idx="84">
                  <c:v>6.4805504844891046E-2</c:v>
                </c:pt>
                <c:pt idx="85">
                  <c:v>5.9172763205422384E-2</c:v>
                </c:pt>
                <c:pt idx="86">
                  <c:v>5.4096665710288448E-2</c:v>
                </c:pt>
                <c:pt idx="87">
                  <c:v>4.9440322371037737E-2</c:v>
                </c:pt>
                <c:pt idx="88">
                  <c:v>4.5171567873214462E-2</c:v>
                </c:pt>
                <c:pt idx="89">
                  <c:v>4.1318972872883428E-2</c:v>
                </c:pt>
                <c:pt idx="90">
                  <c:v>3.7822993151333598E-2</c:v>
                </c:pt>
                <c:pt idx="91">
                  <c:v>3.4545425113907027E-2</c:v>
                </c:pt>
                <c:pt idx="92">
                  <c:v>3.157048555058025E-2</c:v>
                </c:pt>
                <c:pt idx="93">
                  <c:v>2.8839482259193753E-2</c:v>
                </c:pt>
                <c:pt idx="94">
                  <c:v>2.6387571770221857E-2</c:v>
                </c:pt>
                <c:pt idx="95">
                  <c:v>2.4101396149602692E-2</c:v>
                </c:pt>
                <c:pt idx="96">
                  <c:v>2.2041579141671486E-2</c:v>
                </c:pt>
                <c:pt idx="97">
                  <c:v>2.015299977369427E-2</c:v>
                </c:pt>
                <c:pt idx="98">
                  <c:v>1.8410485987722693E-2</c:v>
                </c:pt>
                <c:pt idx="99">
                  <c:v>1.6824048878048212E-2</c:v>
                </c:pt>
                <c:pt idx="100">
                  <c:v>1.5409145177179433E-2</c:v>
                </c:pt>
                <c:pt idx="101">
                  <c:v>1.410477474567148E-2</c:v>
                </c:pt>
                <c:pt idx="102">
                  <c:v>1.282271274695007E-2</c:v>
                </c:pt>
                <c:pt idx="103">
                  <c:v>1.1754168406572519E-2</c:v>
                </c:pt>
                <c:pt idx="104">
                  <c:v>1.0722905891362993E-2</c:v>
                </c:pt>
                <c:pt idx="105">
                  <c:v>9.8055894441856535E-3</c:v>
                </c:pt>
                <c:pt idx="106">
                  <c:v>8.9890974883122358E-3</c:v>
                </c:pt>
                <c:pt idx="107">
                  <c:v>8.2223013582851424E-3</c:v>
                </c:pt>
                <c:pt idx="108">
                  <c:v>7.5142751755210768E-3</c:v>
                </c:pt>
                <c:pt idx="109">
                  <c:v>6.8665962443046034E-3</c:v>
                </c:pt>
                <c:pt idx="110">
                  <c:v>6.2573325588618179E-3</c:v>
                </c:pt>
                <c:pt idx="111">
                  <c:v>5.7302275795231223E-3</c:v>
                </c:pt>
                <c:pt idx="112">
                  <c:v>5.2394479412881693E-3</c:v>
                </c:pt>
                <c:pt idx="113">
                  <c:v>4.7884617152666054E-3</c:v>
                </c:pt>
                <c:pt idx="114">
                  <c:v>4.3772300605378631E-3</c:v>
                </c:pt>
                <c:pt idx="115">
                  <c:v>4.0045910406875706E-3</c:v>
                </c:pt>
                <c:pt idx="116">
                  <c:v>3.6608731221411655E-3</c:v>
                </c:pt>
                <c:pt idx="117">
                  <c:v>3.3472946225753426E-3</c:v>
                </c:pt>
                <c:pt idx="118">
                  <c:v>3.0841508892273293E-3</c:v>
                </c:pt>
              </c:numCache>
            </c:numRef>
          </c:xVal>
          <c:yVal>
            <c:numRef>
              <c:f>Table!$H$18:$H$136</c:f>
              <c:numCache>
                <c:formatCode>????0.00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2.5380710659898321E-2</c:v>
                </c:pt>
                <c:pt idx="33">
                  <c:v>3.1725888324873122E-2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3.807106598984792E-2</c:v>
                </c:pt>
                <c:pt idx="43">
                  <c:v>8.2487309644669785E-2</c:v>
                </c:pt>
                <c:pt idx="44">
                  <c:v>0.10152284263959416</c:v>
                </c:pt>
                <c:pt idx="45">
                  <c:v>0.30456852791878164</c:v>
                </c:pt>
                <c:pt idx="46">
                  <c:v>0.28553299492385764</c:v>
                </c:pt>
                <c:pt idx="47">
                  <c:v>0.45685279187817252</c:v>
                </c:pt>
                <c:pt idx="48">
                  <c:v>1.9796954314720816</c:v>
                </c:pt>
                <c:pt idx="49">
                  <c:v>2.7093908629441619</c:v>
                </c:pt>
                <c:pt idx="50">
                  <c:v>4.2639593908629445</c:v>
                </c:pt>
                <c:pt idx="51">
                  <c:v>6.9289340101522825</c:v>
                </c:pt>
                <c:pt idx="52">
                  <c:v>7.2652284263959395</c:v>
                </c:pt>
                <c:pt idx="53">
                  <c:v>7.6142131979695478</c:v>
                </c:pt>
                <c:pt idx="54">
                  <c:v>5.2918781725888238</c:v>
                </c:pt>
                <c:pt idx="55">
                  <c:v>2.9631979695431525</c:v>
                </c:pt>
                <c:pt idx="56">
                  <c:v>2.734771573604057</c:v>
                </c:pt>
                <c:pt idx="57">
                  <c:v>2.480964467005073</c:v>
                </c:pt>
                <c:pt idx="58">
                  <c:v>2.3540609137055881</c:v>
                </c:pt>
                <c:pt idx="59">
                  <c:v>2.2208121827411134</c:v>
                </c:pt>
                <c:pt idx="60">
                  <c:v>1.8210659898477175</c:v>
                </c:pt>
                <c:pt idx="61">
                  <c:v>1.7576142131979751</c:v>
                </c:pt>
                <c:pt idx="62">
                  <c:v>1.6560913705583786</c:v>
                </c:pt>
                <c:pt idx="63">
                  <c:v>1.7893401015228392</c:v>
                </c:pt>
                <c:pt idx="64">
                  <c:v>1.4974619289340083</c:v>
                </c:pt>
                <c:pt idx="65">
                  <c:v>1.6243654822334932</c:v>
                </c:pt>
                <c:pt idx="66">
                  <c:v>1.6053299492385875</c:v>
                </c:pt>
                <c:pt idx="67">
                  <c:v>1.4403553299492415</c:v>
                </c:pt>
                <c:pt idx="68">
                  <c:v>1.4086294416243632</c:v>
                </c:pt>
                <c:pt idx="69">
                  <c:v>1.3451776649746279</c:v>
                </c:pt>
                <c:pt idx="70">
                  <c:v>1.3642131979695336</c:v>
                </c:pt>
                <c:pt idx="71">
                  <c:v>1.427664974619276</c:v>
                </c:pt>
                <c:pt idx="72">
                  <c:v>1.3134517766497709</c:v>
                </c:pt>
                <c:pt idx="73">
                  <c:v>1.211928934010146</c:v>
                </c:pt>
                <c:pt idx="74">
                  <c:v>1.2373096446700487</c:v>
                </c:pt>
                <c:pt idx="75">
                  <c:v>1.2182741116751146</c:v>
                </c:pt>
                <c:pt idx="76">
                  <c:v>1.180203045685289</c:v>
                </c:pt>
                <c:pt idx="77">
                  <c:v>1.1294416243654695</c:v>
                </c:pt>
                <c:pt idx="78">
                  <c:v>1.0850253807106753</c:v>
                </c:pt>
                <c:pt idx="79">
                  <c:v>1.1040609137055668</c:v>
                </c:pt>
                <c:pt idx="80">
                  <c:v>1.0342639593908842</c:v>
                </c:pt>
                <c:pt idx="81">
                  <c:v>0.98350253807105048</c:v>
                </c:pt>
                <c:pt idx="82">
                  <c:v>1.0152284263959501</c:v>
                </c:pt>
                <c:pt idx="83">
                  <c:v>0.97715736040608192</c:v>
                </c:pt>
                <c:pt idx="84">
                  <c:v>0.91370558375635369</c:v>
                </c:pt>
                <c:pt idx="85">
                  <c:v>0.95812182741114782</c:v>
                </c:pt>
                <c:pt idx="86">
                  <c:v>0.90736040609138513</c:v>
                </c:pt>
                <c:pt idx="87">
                  <c:v>0.90101522842640236</c:v>
                </c:pt>
                <c:pt idx="88">
                  <c:v>0.88832487309645103</c:v>
                </c:pt>
                <c:pt idx="89">
                  <c:v>0.89467005076141959</c:v>
                </c:pt>
                <c:pt idx="90">
                  <c:v>0.85025380710659704</c:v>
                </c:pt>
                <c:pt idx="91">
                  <c:v>0.83756345177664571</c:v>
                </c:pt>
                <c:pt idx="92">
                  <c:v>0.80583756345177449</c:v>
                </c:pt>
                <c:pt idx="93">
                  <c:v>0.81852791878172582</c:v>
                </c:pt>
                <c:pt idx="94">
                  <c:v>0.76142131979695193</c:v>
                </c:pt>
                <c:pt idx="95">
                  <c:v>0.68527918781725816</c:v>
                </c:pt>
                <c:pt idx="96">
                  <c:v>0.72335025380709794</c:v>
                </c:pt>
                <c:pt idx="97">
                  <c:v>0.65355329949238694</c:v>
                </c:pt>
                <c:pt idx="98">
                  <c:v>0.61548223350254716</c:v>
                </c:pt>
                <c:pt idx="99">
                  <c:v>0.57741116751269317</c:v>
                </c:pt>
                <c:pt idx="100">
                  <c:v>0.53934010152283918</c:v>
                </c:pt>
                <c:pt idx="101">
                  <c:v>0.53299492385787062</c:v>
                </c:pt>
                <c:pt idx="102">
                  <c:v>0.52664974619288785</c:v>
                </c:pt>
                <c:pt idx="103">
                  <c:v>0.45050761421320829</c:v>
                </c:pt>
                <c:pt idx="104">
                  <c:v>0.39974619289338875</c:v>
                </c:pt>
                <c:pt idx="105">
                  <c:v>0.36167512690356318</c:v>
                </c:pt>
                <c:pt idx="106">
                  <c:v>0.31725888324872642</c:v>
                </c:pt>
                <c:pt idx="107">
                  <c:v>0.29822335025382074</c:v>
                </c:pt>
                <c:pt idx="108">
                  <c:v>0.27284263959390387</c:v>
                </c:pt>
                <c:pt idx="109">
                  <c:v>0.25380710659898398</c:v>
                </c:pt>
                <c:pt idx="110">
                  <c:v>0.20939086294414722</c:v>
                </c:pt>
                <c:pt idx="111">
                  <c:v>0.18401015228428719</c:v>
                </c:pt>
                <c:pt idx="112">
                  <c:v>0.20939086294414722</c:v>
                </c:pt>
                <c:pt idx="113">
                  <c:v>0</c:v>
                </c:pt>
                <c:pt idx="114">
                  <c:v>0.13324873096445344</c:v>
                </c:pt>
                <c:pt idx="115">
                  <c:v>8.2487309644676543E-2</c:v>
                </c:pt>
                <c:pt idx="116">
                  <c:v>3.8071065989853992E-2</c:v>
                </c:pt>
                <c:pt idx="117">
                  <c:v>0</c:v>
                </c:pt>
                <c:pt idx="118">
                  <c:v>3.8071065989853992E-2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32236928"/>
        <c:axId val="232243584"/>
      </c:scatterChart>
      <c:valAx>
        <c:axId val="232236928"/>
        <c:scaling>
          <c:logBase val="10"/>
          <c:orientation val="minMax"/>
          <c:max val="100"/>
          <c:min val="1.0000000000000041E-3"/>
        </c:scaling>
        <c:delete val="0"/>
        <c:axPos val="t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gradFill rotWithShape="1"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/>
                  <a:t>Pore Aperture Diameter (microns)</a:t>
                </a:r>
              </a:p>
            </c:rich>
          </c:tx>
          <c:layout>
            <c:manualLayout>
              <c:xMode val="edge"/>
              <c:yMode val="edge"/>
              <c:x val="0.36675497039079008"/>
              <c:y val="0.92355761574540307"/>
            </c:manualLayout>
          </c:layout>
          <c:overlay val="0"/>
          <c:spPr>
            <a:noFill/>
            <a:ln w="25400">
              <a:noFill/>
            </a:ln>
          </c:spPr>
        </c:title>
        <c:numFmt formatCode="??0.0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80"/>
            </a:pPr>
            <a:endParaRPr lang="en-US"/>
          </a:p>
        </c:txPr>
        <c:crossAx val="232243584"/>
        <c:crosses val="autoZero"/>
        <c:crossBetween val="midCat"/>
        <c:majorUnit val="10"/>
        <c:minorUnit val="10"/>
      </c:valAx>
      <c:valAx>
        <c:axId val="232243584"/>
        <c:scaling>
          <c:orientation val="maxMin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/>
                  <a:t>Incremental Intrusion as Percent of Pore Volume</a:t>
                </a:r>
              </a:p>
            </c:rich>
          </c:tx>
          <c:layout>
            <c:manualLayout>
              <c:xMode val="edge"/>
              <c:yMode val="edge"/>
              <c:x val="1.0568979145875295E-2"/>
              <c:y val="0.2125122153495171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-5400000" vert="horz"/>
          <a:lstStyle/>
          <a:p>
            <a:pPr>
              <a:defRPr sz="580"/>
            </a:pPr>
            <a:endParaRPr lang="en-US"/>
          </a:p>
        </c:txPr>
        <c:crossAx val="232236928"/>
        <c:crossesAt val="1.0000000000000041E-3"/>
        <c:crossBetween val="midCat"/>
      </c:valAx>
      <c:spPr>
        <a:noFill/>
        <a:ln w="3175">
          <a:solidFill>
            <a:srgbClr val="000000"/>
          </a:solidFill>
        </a:ln>
      </c:spPr>
    </c:plotArea>
    <c:plotVisOnly val="0"/>
    <c:dispBlanksAs val="gap"/>
    <c:showDLblsOverMax val="0"/>
  </c:chart>
  <c:spPr>
    <a:solidFill>
      <a:schemeClr val="accent2">
        <a:lumMod val="20000"/>
        <a:lumOff val="80000"/>
      </a:schemeClr>
    </a:solidFill>
    <a:ln w="3175">
      <a:solidFill>
        <a:sysClr val="windowText" lastClr="000000"/>
      </a:solidFill>
    </a:ln>
  </c:spPr>
  <c:txPr>
    <a:bodyPr/>
    <a:lstStyle/>
    <a:p>
      <a:pPr>
        <a:defRPr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0.75000000000000955" l="0.70000000000000062" r="0.70000000000000062" t="0.75000000000000955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image" Target="../media/image2.jpeg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19050</xdr:rowOff>
    </xdr:from>
    <xdr:to>
      <xdr:col>1</xdr:col>
      <xdr:colOff>476250</xdr:colOff>
      <xdr:row>2</xdr:row>
      <xdr:rowOff>152400</xdr:rowOff>
    </xdr:to>
    <xdr:pic>
      <xdr:nvPicPr>
        <xdr:cNvPr id="33822" name="Picture 2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19050"/>
          <a:ext cx="1110870" cy="4635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1</xdr:col>
      <xdr:colOff>476250</xdr:colOff>
      <xdr:row>2</xdr:row>
      <xdr:rowOff>104775</xdr:rowOff>
    </xdr:to>
    <xdr:pic>
      <xdr:nvPicPr>
        <xdr:cNvPr id="27925" name="Picture 20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525"/>
          <a:ext cx="1058872" cy="454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9525</xdr:colOff>
      <xdr:row>7</xdr:row>
      <xdr:rowOff>161924</xdr:rowOff>
    </xdr:from>
    <xdr:to>
      <xdr:col>5</xdr:col>
      <xdr:colOff>19812</xdr:colOff>
      <xdr:row>26</xdr:row>
      <xdr:rowOff>2666</xdr:rowOff>
    </xdr:to>
    <xdr:graphicFrame macro="">
      <xdr:nvGraphicFramePr>
        <xdr:cNvPr id="27923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762</xdr:colOff>
      <xdr:row>8</xdr:row>
      <xdr:rowOff>2666</xdr:rowOff>
    </xdr:from>
    <xdr:to>
      <xdr:col>10</xdr:col>
      <xdr:colOff>11049</xdr:colOff>
      <xdr:row>26</xdr:row>
      <xdr:rowOff>5333</xdr:rowOff>
    </xdr:to>
    <xdr:graphicFrame macro="">
      <xdr:nvGraphicFramePr>
        <xdr:cNvPr id="11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8</xdr:row>
      <xdr:rowOff>0</xdr:rowOff>
    </xdr:from>
    <xdr:to>
      <xdr:col>14</xdr:col>
      <xdr:colOff>540444</xdr:colOff>
      <xdr:row>26</xdr:row>
      <xdr:rowOff>2667</xdr:rowOff>
    </xdr:to>
    <xdr:graphicFrame macro="">
      <xdr:nvGraphicFramePr>
        <xdr:cNvPr id="27922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9525</xdr:colOff>
      <xdr:row>25</xdr:row>
      <xdr:rowOff>147759</xdr:rowOff>
    </xdr:from>
    <xdr:to>
      <xdr:col>5</xdr:col>
      <xdr:colOff>19812</xdr:colOff>
      <xdr:row>43</xdr:row>
      <xdr:rowOff>161924</xdr:rowOff>
    </xdr:to>
    <xdr:graphicFrame macro="">
      <xdr:nvGraphicFramePr>
        <xdr:cNvPr id="27924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540445</xdr:colOff>
      <xdr:row>25</xdr:row>
      <xdr:rowOff>147761</xdr:rowOff>
    </xdr:from>
    <xdr:to>
      <xdr:col>15</xdr:col>
      <xdr:colOff>0</xdr:colOff>
      <xdr:row>44</xdr:row>
      <xdr:rowOff>0</xdr:rowOff>
    </xdr:to>
    <xdr:graphicFrame macro="">
      <xdr:nvGraphicFramePr>
        <xdr:cNvPr id="10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19050</xdr:rowOff>
    </xdr:from>
    <xdr:to>
      <xdr:col>1</xdr:col>
      <xdr:colOff>476250</xdr:colOff>
      <xdr:row>2</xdr:row>
      <xdr:rowOff>114300</xdr:rowOff>
    </xdr:to>
    <xdr:pic>
      <xdr:nvPicPr>
        <xdr:cNvPr id="29826" name="Picture 2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19050"/>
          <a:ext cx="1069385" cy="454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9525</xdr:colOff>
      <xdr:row>0</xdr:row>
      <xdr:rowOff>9525</xdr:rowOff>
    </xdr:from>
    <xdr:to>
      <xdr:col>1</xdr:col>
      <xdr:colOff>476250</xdr:colOff>
      <xdr:row>2</xdr:row>
      <xdr:rowOff>104775</xdr:rowOff>
    </xdr:to>
    <xdr:pic>
      <xdr:nvPicPr>
        <xdr:cNvPr id="29827" name="Picture 20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525"/>
          <a:ext cx="1069385" cy="454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14</xdr:col>
      <xdr:colOff>862742</xdr:colOff>
      <xdr:row>30</xdr:row>
      <xdr:rowOff>159258</xdr:rowOff>
    </xdr:to>
    <xdr:graphicFrame macro="">
      <xdr:nvGraphicFramePr>
        <xdr:cNvPr id="2983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8</xdr:row>
      <xdr:rowOff>0</xdr:rowOff>
    </xdr:from>
    <xdr:to>
      <xdr:col>8</xdr:col>
      <xdr:colOff>0</xdr:colOff>
      <xdr:row>31</xdr:row>
      <xdr:rowOff>0</xdr:rowOff>
    </xdr:to>
    <xdr:graphicFrame macro="">
      <xdr:nvGraphicFramePr>
        <xdr:cNvPr id="2983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7</xdr:col>
      <xdr:colOff>320802</xdr:colOff>
      <xdr:row>53</xdr:row>
      <xdr:rowOff>159258</xdr:rowOff>
    </xdr:to>
    <xdr:graphicFrame macro="">
      <xdr:nvGraphicFramePr>
        <xdr:cNvPr id="9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3048</xdr:colOff>
      <xdr:row>31</xdr:row>
      <xdr:rowOff>0</xdr:rowOff>
    </xdr:from>
    <xdr:to>
      <xdr:col>15</xdr:col>
      <xdr:colOff>0</xdr:colOff>
      <xdr:row>53</xdr:row>
      <xdr:rowOff>159258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1</xdr:col>
      <xdr:colOff>476250</xdr:colOff>
      <xdr:row>2</xdr:row>
      <xdr:rowOff>142875</xdr:rowOff>
    </xdr:to>
    <xdr:pic>
      <xdr:nvPicPr>
        <xdr:cNvPr id="2080" name="Picture 3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525"/>
          <a:ext cx="1110870" cy="4635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41"/>
  <sheetViews>
    <sheetView showGridLines="0" tabSelected="1" workbookViewId="0">
      <pane xSplit="2" ySplit="17" topLeftCell="C18" activePane="bottomRight" state="frozen"/>
      <selection activeCell="E35" sqref="E35"/>
      <selection pane="topRight" activeCell="E35" sqref="E35"/>
      <selection pane="bottomLeft" activeCell="E35" sqref="E35"/>
      <selection pane="bottomRight" activeCell="A11" sqref="A11"/>
    </sheetView>
  </sheetViews>
  <sheetFormatPr defaultColWidth="8.85546875" defaultRowHeight="12.75" x14ac:dyDescent="0.2"/>
  <cols>
    <col min="1" max="1" width="8.85546875" style="44"/>
    <col min="2" max="2" width="10.7109375" style="44" customWidth="1"/>
    <col min="3" max="3" width="16.140625" style="44" customWidth="1"/>
    <col min="4" max="4" width="10.5703125" style="44" customWidth="1"/>
    <col min="5" max="5" width="9.5703125" style="44" customWidth="1"/>
    <col min="6" max="6" width="10.7109375" style="44" customWidth="1"/>
    <col min="7" max="14" width="9.5703125" style="44" customWidth="1"/>
    <col min="15" max="15" width="8.85546875" style="44"/>
    <col min="16" max="17" width="10.7109375" style="44" customWidth="1"/>
    <col min="18" max="19" width="8.85546875" style="44"/>
    <col min="20" max="20" width="9.5703125" style="44" bestFit="1" customWidth="1"/>
    <col min="21" max="21" width="8.85546875" style="44"/>
    <col min="22" max="22" width="7.5703125" style="44" customWidth="1"/>
    <col min="23" max="23" width="11.5703125" style="65" bestFit="1" customWidth="1"/>
    <col min="24" max="24" width="13" style="65" customWidth="1"/>
    <col min="25" max="37" width="8.85546875" style="65"/>
    <col min="38" max="38" width="15.85546875" style="65" customWidth="1"/>
    <col min="39" max="16384" width="8.85546875" style="65"/>
  </cols>
  <sheetData>
    <row r="1" spans="1:40" x14ac:dyDescent="0.2">
      <c r="X1" s="57"/>
      <c r="Y1" s="90"/>
      <c r="Z1" s="90"/>
      <c r="AA1" s="107"/>
      <c r="AB1" s="107"/>
    </row>
    <row r="2" spans="1:40" x14ac:dyDescent="0.2">
      <c r="X2" s="147"/>
      <c r="Y2" s="147"/>
      <c r="Z2" s="103"/>
      <c r="AA2" s="103"/>
      <c r="AB2" s="116"/>
      <c r="AC2" s="116"/>
    </row>
    <row r="3" spans="1:40" x14ac:dyDescent="0.2">
      <c r="X3" s="89"/>
      <c r="Y3" s="3"/>
      <c r="Z3" s="91"/>
      <c r="AA3" s="116"/>
      <c r="AB3" s="32"/>
      <c r="AC3" s="32"/>
    </row>
    <row r="4" spans="1:40" x14ac:dyDescent="0.2">
      <c r="X4" s="89"/>
      <c r="Y4" s="3"/>
      <c r="Z4" s="91"/>
      <c r="AA4" s="116"/>
      <c r="AB4" s="32"/>
      <c r="AC4" s="32"/>
      <c r="AL4" s="158"/>
      <c r="AM4" s="158"/>
      <c r="AN4" s="158"/>
    </row>
    <row r="5" spans="1:40" ht="15.75" x14ac:dyDescent="0.25">
      <c r="A5" s="161" t="s">
        <v>11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51"/>
      <c r="O5" s="151"/>
      <c r="P5" s="151"/>
      <c r="Q5" s="151"/>
      <c r="R5" s="151"/>
      <c r="S5" s="151"/>
      <c r="T5" s="12"/>
      <c r="U5" s="73"/>
      <c r="V5" s="73"/>
      <c r="W5" s="3"/>
      <c r="X5" s="89"/>
      <c r="Y5" s="3"/>
      <c r="Z5" s="116"/>
      <c r="AA5" s="9"/>
      <c r="AB5" s="9"/>
      <c r="AC5" s="9"/>
      <c r="AL5" s="158"/>
      <c r="AM5" s="158"/>
      <c r="AN5" s="158"/>
    </row>
    <row r="6" spans="1:40" x14ac:dyDescent="0.2">
      <c r="A6" s="59"/>
      <c r="B6" s="73"/>
      <c r="C6" s="73"/>
      <c r="D6" s="73"/>
      <c r="E6" s="59"/>
      <c r="F6" s="59"/>
      <c r="G6" s="59"/>
      <c r="H6" s="59"/>
      <c r="I6" s="59"/>
      <c r="J6" s="59"/>
      <c r="K6" s="59"/>
      <c r="L6" s="59"/>
      <c r="M6" s="59"/>
      <c r="N6" s="59"/>
      <c r="O6" s="73"/>
      <c r="P6" s="73"/>
      <c r="Q6" s="73"/>
      <c r="R6" s="59"/>
      <c r="S6" s="73"/>
      <c r="T6" s="73"/>
      <c r="U6" s="73"/>
      <c r="V6" s="73"/>
      <c r="W6" s="3"/>
      <c r="X6" s="89"/>
      <c r="Y6" s="3"/>
      <c r="Z6" s="116"/>
      <c r="AA6" s="27"/>
      <c r="AB6" s="91"/>
      <c r="AC6" s="91"/>
      <c r="AL6" s="158"/>
      <c r="AM6" s="158"/>
      <c r="AN6" s="158"/>
    </row>
    <row r="7" spans="1:40" ht="12.4" customHeight="1" x14ac:dyDescent="0.2">
      <c r="A7" s="22" t="str">
        <f>Table!A7</f>
        <v>NordAq Energy Inc.</v>
      </c>
      <c r="B7" s="59"/>
      <c r="C7" s="59"/>
      <c r="D7" s="59"/>
      <c r="E7" s="73"/>
      <c r="F7" s="73"/>
      <c r="G7" s="73"/>
      <c r="H7" s="73"/>
      <c r="I7" s="44" t="str">
        <f>Table!L7</f>
        <v>Sample Number:</v>
      </c>
      <c r="M7" s="19" t="str">
        <f>Table!P7</f>
        <v>9</v>
      </c>
      <c r="N7" s="73"/>
      <c r="O7" s="22"/>
      <c r="P7" s="98"/>
      <c r="Q7" s="147"/>
      <c r="R7" s="147"/>
      <c r="S7" s="103"/>
      <c r="T7" s="27"/>
      <c r="U7" s="87"/>
      <c r="V7" s="91"/>
      <c r="AE7" s="148"/>
      <c r="AF7" s="61"/>
      <c r="AG7" s="61"/>
    </row>
    <row r="8" spans="1:40" ht="12.4" customHeight="1" x14ac:dyDescent="0.2">
      <c r="A8" s="22" t="str">
        <f>Table!A8</f>
        <v>East Simpson No. 2 (USGS/Husky 1980)</v>
      </c>
      <c r="B8" s="59"/>
      <c r="C8" s="59"/>
      <c r="D8" s="59"/>
      <c r="E8" s="59"/>
      <c r="F8" s="59"/>
      <c r="G8" s="59"/>
      <c r="H8" s="59"/>
      <c r="I8" s="44" t="str">
        <f>Table!L8</f>
        <v>Sample Depth, m:</v>
      </c>
      <c r="M8" s="62">
        <f>Table!P8</f>
        <v>6072.7</v>
      </c>
      <c r="N8" s="73"/>
      <c r="O8" s="22"/>
      <c r="P8" s="98"/>
      <c r="Q8" s="147"/>
      <c r="R8" s="147"/>
      <c r="S8" s="103"/>
      <c r="T8" s="27"/>
      <c r="U8" s="87"/>
      <c r="V8" s="91"/>
      <c r="AE8" s="69"/>
      <c r="AF8" s="61"/>
      <c r="AG8" s="61"/>
    </row>
    <row r="9" spans="1:40" ht="12.4" customHeight="1" x14ac:dyDescent="0.2">
      <c r="A9" s="22" t="str">
        <f>Table!A9</f>
        <v>Torok Sandstones Formation</v>
      </c>
      <c r="B9" s="59"/>
      <c r="C9" s="59"/>
      <c r="D9" s="59"/>
      <c r="E9" s="59"/>
      <c r="F9" s="59"/>
      <c r="G9" s="59"/>
      <c r="H9" s="59"/>
      <c r="I9" s="13" t="str">
        <f>Table!L9</f>
        <v>Permeability to Air (calc), mD:</v>
      </c>
      <c r="K9" s="59"/>
      <c r="L9" s="59"/>
      <c r="M9" s="67">
        <f>Table!P9</f>
        <v>0.96314080801338708</v>
      </c>
      <c r="N9" s="73"/>
      <c r="O9" s="22" t="s">
        <v>39</v>
      </c>
      <c r="P9" s="98"/>
      <c r="Q9" s="3"/>
      <c r="R9" s="147"/>
      <c r="S9" s="147"/>
      <c r="T9" s="52"/>
      <c r="U9" s="52"/>
      <c r="V9" s="23"/>
      <c r="AE9" s="69"/>
      <c r="AF9" s="61"/>
      <c r="AG9" s="61"/>
    </row>
    <row r="10" spans="1:40" ht="12.4" customHeight="1" x14ac:dyDescent="0.2">
      <c r="A10" s="22" t="str">
        <f>Table!A10</f>
        <v>HH-61176</v>
      </c>
      <c r="B10" s="59"/>
      <c r="C10" s="59"/>
      <c r="D10" s="59"/>
      <c r="E10" s="73"/>
      <c r="F10" s="73"/>
      <c r="G10" s="73"/>
      <c r="H10" s="73"/>
      <c r="I10" s="13" t="str">
        <f>Table!L10</f>
        <v>Porosity, fraction:</v>
      </c>
      <c r="K10" s="59"/>
      <c r="L10" s="59"/>
      <c r="M10" s="67">
        <f>K30</f>
        <v>0.14440315037789067</v>
      </c>
      <c r="N10" s="73"/>
      <c r="O10" s="79" t="s">
        <v>39</v>
      </c>
      <c r="P10" s="14"/>
      <c r="Q10" s="3"/>
      <c r="R10" s="147"/>
      <c r="S10" s="147"/>
      <c r="T10" s="52"/>
      <c r="U10" s="103"/>
      <c r="V10" s="23"/>
      <c r="AE10" s="69"/>
      <c r="AF10" s="61"/>
      <c r="AG10" s="61"/>
    </row>
    <row r="11" spans="1:40" ht="12.4" customHeight="1" x14ac:dyDescent="0.2">
      <c r="A11" s="117"/>
      <c r="B11" s="59"/>
      <c r="C11" s="59"/>
      <c r="D11" s="59"/>
      <c r="E11" s="73"/>
      <c r="F11" s="73"/>
      <c r="G11" s="73"/>
      <c r="H11" s="59"/>
      <c r="I11" s="44" t="str">
        <f>Table!L11</f>
        <v>Grain Density, grams/cc:</v>
      </c>
      <c r="M11" s="99">
        <f>L30</f>
        <v>2.6737305569881857</v>
      </c>
      <c r="N11" s="73"/>
      <c r="O11" s="79" t="s">
        <v>39</v>
      </c>
      <c r="P11" s="14"/>
      <c r="Q11" s="147"/>
      <c r="R11" s="57"/>
      <c r="S11" s="90"/>
      <c r="T11" s="90"/>
      <c r="U11" s="110"/>
      <c r="V11" s="65"/>
      <c r="AE11" s="69"/>
      <c r="AF11" s="61"/>
      <c r="AG11" s="61"/>
    </row>
    <row r="12" spans="1:40" ht="12.4" customHeight="1" x14ac:dyDescent="0.2">
      <c r="A12" s="22"/>
      <c r="B12" s="59"/>
      <c r="C12" s="59"/>
      <c r="D12" s="59"/>
      <c r="E12" s="59"/>
      <c r="F12" s="59"/>
      <c r="G12" s="59"/>
      <c r="H12" s="59"/>
      <c r="I12" s="59"/>
      <c r="J12" s="13"/>
      <c r="K12" s="59"/>
      <c r="L12" s="59"/>
      <c r="M12" s="67"/>
      <c r="N12" s="73"/>
      <c r="O12" s="37"/>
      <c r="P12" s="116"/>
      <c r="Q12" s="147"/>
      <c r="R12" s="3"/>
      <c r="S12" s="147"/>
      <c r="T12" s="140"/>
      <c r="U12" s="3"/>
      <c r="V12" s="65"/>
      <c r="AE12" s="61"/>
      <c r="AF12" s="61"/>
      <c r="AG12" s="61"/>
    </row>
    <row r="13" spans="1:40" ht="12.4" customHeight="1" x14ac:dyDescent="0.2">
      <c r="A13" s="100"/>
      <c r="B13" s="100" t="s">
        <v>58</v>
      </c>
      <c r="C13" s="100" t="s">
        <v>57</v>
      </c>
      <c r="D13" s="100" t="s">
        <v>58</v>
      </c>
      <c r="E13" s="100" t="s">
        <v>57</v>
      </c>
      <c r="F13" s="100" t="s">
        <v>91</v>
      </c>
      <c r="G13" s="88"/>
      <c r="H13" s="88"/>
      <c r="N13" s="73"/>
      <c r="O13" s="37"/>
      <c r="P13" s="116"/>
      <c r="Q13" s="147"/>
      <c r="R13" s="147"/>
      <c r="S13" s="147"/>
      <c r="T13" s="140"/>
      <c r="U13" s="147"/>
      <c r="V13" s="65"/>
      <c r="AE13" s="61"/>
      <c r="AF13" s="61"/>
      <c r="AG13" s="61"/>
    </row>
    <row r="14" spans="1:40" ht="12.4" customHeight="1" x14ac:dyDescent="0.2">
      <c r="A14" s="70" t="s">
        <v>85</v>
      </c>
      <c r="B14" s="70" t="s">
        <v>63</v>
      </c>
      <c r="C14" s="70" t="s">
        <v>63</v>
      </c>
      <c r="D14" s="70" t="s">
        <v>63</v>
      </c>
      <c r="E14" s="70" t="s">
        <v>63</v>
      </c>
      <c r="F14" s="70" t="s">
        <v>50</v>
      </c>
      <c r="G14" s="88"/>
      <c r="H14" s="88"/>
      <c r="I14" s="74"/>
      <c r="J14" s="74"/>
      <c r="K14" s="74"/>
      <c r="L14" s="74"/>
      <c r="M14" s="74"/>
      <c r="N14" s="73"/>
      <c r="O14" s="37"/>
      <c r="P14" s="116"/>
      <c r="Q14" s="147"/>
      <c r="R14" s="147"/>
      <c r="S14" s="147"/>
      <c r="T14" s="140"/>
      <c r="U14" s="147"/>
      <c r="V14" s="65"/>
      <c r="AE14" s="61"/>
      <c r="AF14" s="61"/>
      <c r="AG14" s="61"/>
    </row>
    <row r="15" spans="1:40" ht="12.4" customHeight="1" x14ac:dyDescent="0.2">
      <c r="A15" s="70" t="s">
        <v>78</v>
      </c>
      <c r="B15" s="70" t="s">
        <v>3</v>
      </c>
      <c r="C15" s="70" t="s">
        <v>3</v>
      </c>
      <c r="D15" s="70" t="s">
        <v>5</v>
      </c>
      <c r="E15" s="70" t="s">
        <v>5</v>
      </c>
      <c r="F15" s="70" t="s">
        <v>5</v>
      </c>
      <c r="G15" s="88"/>
      <c r="H15" s="88"/>
      <c r="I15" s="88"/>
      <c r="J15" s="88"/>
      <c r="K15" s="88"/>
      <c r="L15" s="74"/>
      <c r="M15" s="74"/>
      <c r="N15" s="59"/>
      <c r="O15" s="37"/>
      <c r="P15" s="116"/>
      <c r="Q15" s="147"/>
      <c r="R15" s="147"/>
      <c r="S15" s="147"/>
      <c r="T15" s="140"/>
      <c r="U15" s="147"/>
      <c r="V15" s="65"/>
      <c r="AE15" s="61"/>
      <c r="AF15" s="61"/>
      <c r="AG15" s="61"/>
    </row>
    <row r="16" spans="1:40" ht="12.4" customHeight="1" x14ac:dyDescent="0.2">
      <c r="A16" s="146" t="s">
        <v>49</v>
      </c>
      <c r="B16" s="146" t="s">
        <v>36</v>
      </c>
      <c r="C16" s="146" t="s">
        <v>36</v>
      </c>
      <c r="D16" s="146" t="s">
        <v>26</v>
      </c>
      <c r="E16" s="146" t="s">
        <v>26</v>
      </c>
      <c r="F16" s="146" t="s">
        <v>26</v>
      </c>
      <c r="G16" s="88"/>
      <c r="H16" s="88"/>
      <c r="I16" s="88"/>
      <c r="J16" s="88"/>
      <c r="K16" s="88"/>
      <c r="L16" s="88"/>
      <c r="M16" s="88"/>
      <c r="N16" s="59"/>
      <c r="O16" s="116"/>
      <c r="P16" s="116"/>
      <c r="Q16" s="3"/>
      <c r="R16" s="65"/>
      <c r="S16" s="65"/>
      <c r="T16" s="65"/>
      <c r="U16" s="65"/>
      <c r="V16" s="65"/>
      <c r="AE16" s="61"/>
      <c r="AF16" s="61"/>
      <c r="AG16" s="61"/>
    </row>
    <row r="17" spans="1:35" ht="12.4" customHeight="1" x14ac:dyDescent="0.2">
      <c r="A17" s="73"/>
      <c r="B17" s="73"/>
      <c r="E17" s="73"/>
      <c r="F17" s="73"/>
      <c r="G17" s="73"/>
      <c r="H17" s="73"/>
      <c r="I17" s="73"/>
      <c r="J17" s="73"/>
      <c r="K17" s="73"/>
      <c r="L17" s="73"/>
      <c r="M17" s="73"/>
      <c r="N17" s="59"/>
      <c r="O17" s="116"/>
      <c r="P17" s="116"/>
      <c r="Q17" s="89"/>
      <c r="R17" s="3"/>
      <c r="S17" s="3"/>
      <c r="T17" s="115"/>
      <c r="U17" s="65"/>
      <c r="V17" s="65"/>
      <c r="AE17" s="61"/>
      <c r="AF17" s="61"/>
      <c r="AG17" s="61"/>
    </row>
    <row r="18" spans="1:35" ht="12.4" customHeight="1" x14ac:dyDescent="0.2">
      <c r="A18" s="1">
        <v>1.5079505443572998</v>
      </c>
      <c r="B18" s="42">
        <v>0</v>
      </c>
      <c r="C18" s="21">
        <f t="shared" ref="C18:C136" si="0">IF(B18-I$34&lt;0,0,B18-I$34)</f>
        <v>0</v>
      </c>
      <c r="D18" s="21">
        <f t="shared" ref="D18:D136" si="1">B18/$B$136</f>
        <v>0</v>
      </c>
      <c r="E18" s="21">
        <f t="shared" ref="E18:E136" si="2">C18/$H$30</f>
        <v>0</v>
      </c>
      <c r="F18" s="21">
        <f t="shared" ref="F18:F136" si="3">E18-E17</f>
        <v>0</v>
      </c>
      <c r="G18" s="21"/>
      <c r="H18" s="105" t="s">
        <v>19</v>
      </c>
      <c r="I18" s="85"/>
      <c r="J18" s="85"/>
      <c r="K18" s="85"/>
      <c r="L18" s="85"/>
      <c r="M18" s="95"/>
      <c r="O18" s="1"/>
      <c r="P18" s="116"/>
      <c r="Q18" s="159"/>
      <c r="R18" s="139"/>
      <c r="S18" s="39"/>
      <c r="T18" s="66"/>
      <c r="U18" s="66"/>
      <c r="V18" s="66"/>
      <c r="W18" s="78"/>
      <c r="X18" s="159"/>
      <c r="AG18" s="61"/>
      <c r="AH18" s="61"/>
      <c r="AI18" s="61"/>
    </row>
    <row r="19" spans="1:35" ht="12.4" customHeight="1" x14ac:dyDescent="0.2">
      <c r="A19" s="1">
        <v>1.5989933013916016</v>
      </c>
      <c r="B19" s="42">
        <v>1.3739427145328773E-3</v>
      </c>
      <c r="C19" s="21">
        <f t="shared" si="0"/>
        <v>0</v>
      </c>
      <c r="D19" s="21">
        <f t="shared" si="1"/>
        <v>8.5243392247312565E-4</v>
      </c>
      <c r="E19" s="21">
        <f t="shared" si="2"/>
        <v>0</v>
      </c>
      <c r="F19" s="21">
        <f t="shared" si="3"/>
        <v>0</v>
      </c>
      <c r="G19" s="21"/>
      <c r="H19" s="100" t="s">
        <v>89</v>
      </c>
      <c r="I19" s="100" t="s">
        <v>2</v>
      </c>
      <c r="J19" s="100" t="s">
        <v>84</v>
      </c>
      <c r="K19" s="100"/>
      <c r="L19" s="100" t="s">
        <v>84</v>
      </c>
      <c r="M19" s="100" t="s">
        <v>15</v>
      </c>
      <c r="O19" s="1"/>
      <c r="P19" s="116"/>
      <c r="Q19" s="159"/>
      <c r="R19" s="139"/>
      <c r="S19" s="88"/>
      <c r="T19" s="88"/>
      <c r="U19" s="88"/>
      <c r="V19" s="88"/>
      <c r="W19" s="78"/>
      <c r="X19" s="159"/>
      <c r="AG19" s="61"/>
      <c r="AH19" s="61"/>
      <c r="AI19" s="61"/>
    </row>
    <row r="20" spans="1:35" ht="12.4" customHeight="1" x14ac:dyDescent="0.2">
      <c r="A20" s="1">
        <v>1.8068345785140991</v>
      </c>
      <c r="B20" s="42">
        <v>2.2899045565029988E-3</v>
      </c>
      <c r="C20" s="21">
        <f t="shared" si="0"/>
        <v>0</v>
      </c>
      <c r="D20" s="21">
        <f t="shared" si="1"/>
        <v>1.420723224150278E-3</v>
      </c>
      <c r="E20" s="21">
        <f t="shared" si="2"/>
        <v>0</v>
      </c>
      <c r="F20" s="21">
        <f t="shared" si="3"/>
        <v>0</v>
      </c>
      <c r="G20" s="21"/>
      <c r="H20" s="70" t="s">
        <v>3</v>
      </c>
      <c r="I20" s="70" t="s">
        <v>3</v>
      </c>
      <c r="J20" s="70" t="s">
        <v>3</v>
      </c>
      <c r="K20" s="70" t="s">
        <v>62</v>
      </c>
      <c r="L20" s="70" t="s">
        <v>40</v>
      </c>
      <c r="M20" s="70" t="s">
        <v>9</v>
      </c>
      <c r="O20" s="1"/>
      <c r="P20" s="116"/>
      <c r="Q20" s="159"/>
      <c r="R20" s="139"/>
      <c r="S20" s="88"/>
      <c r="T20" s="88"/>
      <c r="U20" s="88"/>
      <c r="V20" s="88"/>
      <c r="W20" s="78"/>
      <c r="X20" s="159"/>
      <c r="AG20" s="61"/>
      <c r="AH20" s="61"/>
      <c r="AI20" s="61"/>
    </row>
    <row r="21" spans="1:35" ht="12.4" customHeight="1" x14ac:dyDescent="0.2">
      <c r="A21" s="1">
        <v>2.0094594955444336</v>
      </c>
      <c r="B21" s="42">
        <v>9.3558957151547162E-3</v>
      </c>
      <c r="C21" s="21">
        <f t="shared" si="0"/>
        <v>0</v>
      </c>
      <c r="D21" s="21">
        <f t="shared" si="1"/>
        <v>5.8046691454893273E-3</v>
      </c>
      <c r="E21" s="21">
        <f t="shared" si="2"/>
        <v>0</v>
      </c>
      <c r="F21" s="21">
        <f t="shared" si="3"/>
        <v>0</v>
      </c>
      <c r="G21" s="21"/>
      <c r="H21" s="146" t="s">
        <v>36</v>
      </c>
      <c r="I21" s="146" t="s">
        <v>36</v>
      </c>
      <c r="J21" s="146" t="s">
        <v>36</v>
      </c>
      <c r="K21" s="146" t="s">
        <v>26</v>
      </c>
      <c r="L21" s="146" t="s">
        <v>27</v>
      </c>
      <c r="M21" s="146" t="s">
        <v>18</v>
      </c>
      <c r="O21" s="1"/>
      <c r="P21" s="116"/>
      <c r="Q21" s="159"/>
      <c r="R21" s="139"/>
      <c r="S21" s="88"/>
      <c r="T21" s="88"/>
      <c r="U21" s="88"/>
      <c r="V21" s="88"/>
      <c r="W21" s="78"/>
      <c r="X21" s="159"/>
      <c r="AG21" s="92"/>
      <c r="AH21" s="61"/>
      <c r="AI21" s="61"/>
    </row>
    <row r="22" spans="1:35" ht="12.4" customHeight="1" x14ac:dyDescent="0.2">
      <c r="A22" s="1">
        <v>2.1648108959197998</v>
      </c>
      <c r="B22" s="42">
        <v>1.3216019603731824E-2</v>
      </c>
      <c r="C22" s="21">
        <f t="shared" si="0"/>
        <v>0</v>
      </c>
      <c r="D22" s="21">
        <f t="shared" si="1"/>
        <v>8.1996020002340943E-3</v>
      </c>
      <c r="E22" s="21">
        <f t="shared" si="2"/>
        <v>0</v>
      </c>
      <c r="F22" s="21">
        <f t="shared" si="3"/>
        <v>0</v>
      </c>
      <c r="G22" s="21"/>
      <c r="H22" s="123"/>
      <c r="I22" s="1"/>
      <c r="J22" s="1"/>
      <c r="K22" s="1"/>
      <c r="L22" s="1"/>
      <c r="M22" s="1"/>
      <c r="O22" s="1"/>
      <c r="P22" s="116"/>
      <c r="Q22" s="159"/>
      <c r="R22" s="139"/>
      <c r="S22" s="47"/>
      <c r="T22" s="78"/>
      <c r="U22" s="78"/>
      <c r="V22" s="78"/>
      <c r="W22" s="78"/>
      <c r="X22" s="159"/>
      <c r="AG22" s="92"/>
      <c r="AH22" s="61"/>
      <c r="AI22" s="61"/>
    </row>
    <row r="23" spans="1:35" ht="12.4" customHeight="1" x14ac:dyDescent="0.2">
      <c r="A23" s="1">
        <v>2.3579812049865723</v>
      </c>
      <c r="B23" s="42">
        <v>1.7534127076520769E-2</v>
      </c>
      <c r="C23" s="21">
        <f t="shared" si="0"/>
        <v>0</v>
      </c>
      <c r="D23" s="21">
        <f t="shared" si="1"/>
        <v>1.0878681158160599E-2</v>
      </c>
      <c r="E23" s="21">
        <f t="shared" si="2"/>
        <v>0</v>
      </c>
      <c r="F23" s="21">
        <f t="shared" si="3"/>
        <v>0</v>
      </c>
      <c r="G23" s="21"/>
      <c r="H23" s="68">
        <f>I23-J23</f>
        <v>1.7799999999999994</v>
      </c>
      <c r="I23" s="68">
        <v>11.12</v>
      </c>
      <c r="J23" s="68">
        <v>9.34</v>
      </c>
      <c r="K23" s="43">
        <f>H23/I23</f>
        <v>0.16007194244604311</v>
      </c>
      <c r="L23" s="68">
        <f>M23/J23</f>
        <v>2.6731263383297645</v>
      </c>
      <c r="M23" s="68">
        <v>24.966999999999999</v>
      </c>
      <c r="O23" s="128"/>
      <c r="P23" s="116"/>
      <c r="Q23" s="159"/>
      <c r="R23" s="139"/>
      <c r="S23" s="125"/>
      <c r="T23" s="125"/>
      <c r="U23" s="125"/>
      <c r="V23" s="125"/>
      <c r="W23" s="78"/>
      <c r="X23" s="159"/>
      <c r="AG23" s="92"/>
      <c r="AH23" s="61"/>
      <c r="AI23" s="61"/>
    </row>
    <row r="24" spans="1:35" ht="12.4" customHeight="1" x14ac:dyDescent="0.2">
      <c r="A24" s="1">
        <v>2.5763368606567383</v>
      </c>
      <c r="B24" s="42">
        <v>2.0282011537140422E-2</v>
      </c>
      <c r="C24" s="21">
        <f t="shared" si="0"/>
        <v>0</v>
      </c>
      <c r="D24" s="21">
        <f t="shared" si="1"/>
        <v>1.258354840225479E-2</v>
      </c>
      <c r="E24" s="21">
        <f t="shared" si="2"/>
        <v>0</v>
      </c>
      <c r="F24" s="21">
        <f t="shared" si="3"/>
        <v>0</v>
      </c>
      <c r="G24" s="21"/>
      <c r="O24" s="1"/>
      <c r="P24" s="116"/>
      <c r="Q24" s="159"/>
      <c r="R24" s="139"/>
      <c r="S24" s="65"/>
      <c r="T24" s="65"/>
      <c r="U24" s="65"/>
      <c r="V24" s="65"/>
      <c r="W24" s="78"/>
      <c r="X24" s="159"/>
      <c r="AG24" s="92"/>
      <c r="AH24" s="61"/>
      <c r="AI24" s="61"/>
    </row>
    <row r="25" spans="1:35" ht="12.4" customHeight="1" x14ac:dyDescent="0.2">
      <c r="A25" s="1">
        <v>2.8118090629577637</v>
      </c>
      <c r="B25" s="42">
        <v>2.2179361696425638E-2</v>
      </c>
      <c r="C25" s="21">
        <f t="shared" si="0"/>
        <v>0</v>
      </c>
      <c r="D25" s="21">
        <f t="shared" si="1"/>
        <v>1.3760719489139872E-2</v>
      </c>
      <c r="E25" s="21">
        <f t="shared" si="2"/>
        <v>0</v>
      </c>
      <c r="F25" s="21">
        <f t="shared" si="3"/>
        <v>0</v>
      </c>
      <c r="G25" s="21"/>
      <c r="H25" s="105" t="s">
        <v>77</v>
      </c>
      <c r="I25" s="85"/>
      <c r="J25" s="85"/>
      <c r="K25" s="85"/>
      <c r="L25" s="85"/>
      <c r="M25" s="95"/>
      <c r="O25" s="1"/>
      <c r="P25" s="116"/>
      <c r="Q25" s="159"/>
      <c r="R25" s="139"/>
      <c r="S25" s="39"/>
      <c r="T25" s="66"/>
      <c r="U25" s="66"/>
      <c r="V25" s="66"/>
      <c r="W25" s="78"/>
      <c r="X25" s="159"/>
      <c r="AG25" s="15"/>
      <c r="AH25" s="61"/>
      <c r="AI25" s="61"/>
    </row>
    <row r="26" spans="1:35" ht="12.4" customHeight="1" x14ac:dyDescent="0.2">
      <c r="A26" s="1">
        <v>3.0808615684509277</v>
      </c>
      <c r="B26" s="42">
        <v>2.40112836371629E-2</v>
      </c>
      <c r="C26" s="21">
        <f t="shared" si="0"/>
        <v>0</v>
      </c>
      <c r="D26" s="21">
        <f t="shared" si="1"/>
        <v>1.4897297010960472E-2</v>
      </c>
      <c r="E26" s="21">
        <f t="shared" si="2"/>
        <v>0</v>
      </c>
      <c r="F26" s="21">
        <f t="shared" si="3"/>
        <v>0</v>
      </c>
      <c r="G26" s="21"/>
      <c r="H26" s="100" t="s">
        <v>89</v>
      </c>
      <c r="I26" s="100" t="s">
        <v>2</v>
      </c>
      <c r="J26" s="100" t="s">
        <v>84</v>
      </c>
      <c r="K26" s="100"/>
      <c r="L26" s="100" t="s">
        <v>84</v>
      </c>
      <c r="M26" s="100" t="s">
        <v>15</v>
      </c>
      <c r="O26" s="1"/>
      <c r="P26" s="116"/>
      <c r="Q26" s="159"/>
      <c r="R26" s="139"/>
      <c r="S26" s="88"/>
      <c r="T26" s="88"/>
      <c r="U26" s="88"/>
      <c r="V26" s="88"/>
      <c r="W26" s="78"/>
      <c r="X26" s="159"/>
      <c r="AG26" s="15"/>
      <c r="AH26" s="61"/>
      <c r="AI26" s="61"/>
    </row>
    <row r="27" spans="1:35" ht="12.4" customHeight="1" x14ac:dyDescent="0.2">
      <c r="A27" s="1">
        <v>3.3865108489990234</v>
      </c>
      <c r="B27" s="42">
        <v>2.5646931768852625E-2</v>
      </c>
      <c r="C27" s="21">
        <f t="shared" si="0"/>
        <v>0</v>
      </c>
      <c r="D27" s="21">
        <f t="shared" si="1"/>
        <v>1.5912100567130681E-2</v>
      </c>
      <c r="E27" s="21">
        <f t="shared" si="2"/>
        <v>0</v>
      </c>
      <c r="F27" s="21">
        <f t="shared" si="3"/>
        <v>0</v>
      </c>
      <c r="G27" s="21"/>
      <c r="H27" s="70" t="s">
        <v>3</v>
      </c>
      <c r="I27" s="70" t="s">
        <v>3</v>
      </c>
      <c r="J27" s="70" t="s">
        <v>3</v>
      </c>
      <c r="K27" s="70" t="s">
        <v>62</v>
      </c>
      <c r="L27" s="70" t="s">
        <v>40</v>
      </c>
      <c r="M27" s="70" t="s">
        <v>9</v>
      </c>
      <c r="O27" s="1"/>
      <c r="P27" s="116"/>
      <c r="Q27" s="159"/>
      <c r="R27" s="139"/>
      <c r="S27" s="88"/>
      <c r="T27" s="88"/>
      <c r="U27" s="88"/>
      <c r="V27" s="88"/>
      <c r="W27" s="78"/>
      <c r="X27" s="159"/>
      <c r="AG27" s="15"/>
      <c r="AH27" s="61"/>
      <c r="AI27" s="61"/>
    </row>
    <row r="28" spans="1:35" ht="12.4" customHeight="1" x14ac:dyDescent="0.2">
      <c r="A28" s="1">
        <v>3.6919970512390137</v>
      </c>
      <c r="B28" s="42">
        <v>2.6759169647296317E-2</v>
      </c>
      <c r="C28" s="21">
        <f t="shared" si="0"/>
        <v>0</v>
      </c>
      <c r="D28" s="21">
        <f t="shared" si="1"/>
        <v>1.6602165216417959E-2</v>
      </c>
      <c r="E28" s="21">
        <f t="shared" si="2"/>
        <v>0</v>
      </c>
      <c r="F28" s="21">
        <f t="shared" si="3"/>
        <v>0</v>
      </c>
      <c r="G28" s="21"/>
      <c r="H28" s="146" t="s">
        <v>36</v>
      </c>
      <c r="I28" s="146" t="s">
        <v>36</v>
      </c>
      <c r="J28" s="146" t="s">
        <v>36</v>
      </c>
      <c r="K28" s="146" t="s">
        <v>26</v>
      </c>
      <c r="L28" s="146" t="s">
        <v>27</v>
      </c>
      <c r="M28" s="146" t="s">
        <v>18</v>
      </c>
      <c r="O28" s="1"/>
      <c r="P28" s="116"/>
      <c r="Q28" s="159"/>
      <c r="R28" s="139"/>
      <c r="S28" s="88"/>
      <c r="T28" s="88"/>
      <c r="U28" s="88"/>
      <c r="V28" s="88"/>
      <c r="W28" s="78"/>
      <c r="X28" s="159"/>
      <c r="AG28" s="15"/>
      <c r="AH28" s="61"/>
      <c r="AI28" s="61"/>
    </row>
    <row r="29" spans="1:35" ht="12.4" customHeight="1" x14ac:dyDescent="0.2">
      <c r="A29" s="1">
        <v>4.0388069152832031</v>
      </c>
      <c r="B29" s="42">
        <v>2.7936834194774201E-2</v>
      </c>
      <c r="C29" s="21">
        <f t="shared" si="0"/>
        <v>0</v>
      </c>
      <c r="D29" s="21">
        <f t="shared" si="1"/>
        <v>1.7332822469406428E-2</v>
      </c>
      <c r="E29" s="21">
        <f t="shared" si="2"/>
        <v>0</v>
      </c>
      <c r="F29" s="21">
        <f t="shared" si="3"/>
        <v>0</v>
      </c>
      <c r="G29" s="21"/>
      <c r="H29" s="123"/>
      <c r="I29" s="1"/>
      <c r="J29" s="1"/>
      <c r="K29" s="1"/>
      <c r="L29" s="1"/>
      <c r="M29" s="1"/>
      <c r="O29" s="1"/>
      <c r="P29" s="116"/>
      <c r="Q29" s="159"/>
      <c r="R29" s="139"/>
      <c r="S29" s="47"/>
      <c r="T29" s="78"/>
      <c r="U29" s="78"/>
      <c r="V29" s="78"/>
      <c r="W29" s="78"/>
      <c r="X29" s="159"/>
      <c r="AG29" s="118"/>
      <c r="AH29" s="61"/>
      <c r="AI29" s="61"/>
    </row>
    <row r="30" spans="1:35" ht="12.4" customHeight="1" x14ac:dyDescent="0.2">
      <c r="A30" s="1">
        <v>4.4196047782897949</v>
      </c>
      <c r="B30" s="42">
        <v>2.8787371595136158E-2</v>
      </c>
      <c r="C30" s="21">
        <f t="shared" si="0"/>
        <v>0</v>
      </c>
      <c r="D30" s="21">
        <f t="shared" si="1"/>
        <v>1.7860520549342125E-2</v>
      </c>
      <c r="E30" s="21">
        <f t="shared" si="2"/>
        <v>0</v>
      </c>
      <c r="F30" s="21">
        <f t="shared" si="3"/>
        <v>0</v>
      </c>
      <c r="G30" s="21"/>
      <c r="H30" s="68">
        <f>C136</f>
        <v>1.5760000000000001</v>
      </c>
      <c r="I30" s="68">
        <v>10.913889315265928</v>
      </c>
      <c r="J30" s="68">
        <f>I30-H30</f>
        <v>9.3378893152659277</v>
      </c>
      <c r="K30" s="43">
        <f>H30/I30</f>
        <v>0.14440315037789067</v>
      </c>
      <c r="L30" s="68">
        <f>M30/J30</f>
        <v>2.6737305569881857</v>
      </c>
      <c r="M30" s="68">
        <f>M23</f>
        <v>24.966999999999999</v>
      </c>
      <c r="N30" s="34"/>
      <c r="O30" s="21"/>
      <c r="P30" s="116"/>
      <c r="Q30" s="65"/>
      <c r="R30" s="139"/>
      <c r="S30" s="125"/>
      <c r="T30" s="125"/>
      <c r="U30" s="125"/>
      <c r="V30" s="125"/>
      <c r="W30" s="113"/>
      <c r="X30" s="97"/>
    </row>
    <row r="31" spans="1:35" ht="12.4" customHeight="1" x14ac:dyDescent="0.2">
      <c r="A31" s="1">
        <v>4.8204536437988281</v>
      </c>
      <c r="B31" s="42">
        <v>2.9441628988395536E-2</v>
      </c>
      <c r="C31" s="21">
        <f t="shared" si="0"/>
        <v>0</v>
      </c>
      <c r="D31" s="21">
        <f t="shared" si="1"/>
        <v>1.8266440818174256E-2</v>
      </c>
      <c r="E31" s="21">
        <f t="shared" si="2"/>
        <v>0</v>
      </c>
      <c r="F31" s="21">
        <f t="shared" si="3"/>
        <v>0</v>
      </c>
      <c r="G31" s="21"/>
      <c r="H31" s="123"/>
      <c r="I31" s="1"/>
      <c r="J31" s="1"/>
      <c r="K31" s="1"/>
      <c r="L31" s="1"/>
      <c r="M31" s="71"/>
      <c r="O31" s="55"/>
      <c r="P31" s="116"/>
      <c r="Q31" s="125"/>
      <c r="R31" s="65"/>
      <c r="S31" s="65"/>
      <c r="T31" s="65"/>
      <c r="U31" s="65"/>
      <c r="V31" s="65"/>
    </row>
    <row r="32" spans="1:35" ht="12.4" customHeight="1" x14ac:dyDescent="0.2">
      <c r="A32" s="1">
        <v>5.2622184753417969</v>
      </c>
      <c r="B32" s="42">
        <v>3.0095889480682435E-2</v>
      </c>
      <c r="C32" s="21">
        <f t="shared" si="0"/>
        <v>0</v>
      </c>
      <c r="D32" s="21">
        <f t="shared" si="1"/>
        <v>1.8672363009732976E-2</v>
      </c>
      <c r="E32" s="21">
        <f t="shared" si="2"/>
        <v>0</v>
      </c>
      <c r="F32" s="21">
        <f t="shared" si="3"/>
        <v>0</v>
      </c>
      <c r="G32" s="21"/>
      <c r="I32" s="162" t="s">
        <v>37</v>
      </c>
      <c r="J32" s="163"/>
      <c r="K32" s="162" t="s">
        <v>65</v>
      </c>
      <c r="L32" s="163"/>
      <c r="M32" s="47"/>
      <c r="N32" s="71"/>
      <c r="O32" s="55"/>
      <c r="P32" s="116"/>
      <c r="Q32" s="125"/>
      <c r="R32" s="65"/>
      <c r="S32" s="65"/>
      <c r="T32" s="65"/>
      <c r="U32" s="65"/>
      <c r="V32" s="65"/>
    </row>
    <row r="33" spans="1:22" ht="12.4" customHeight="1" x14ac:dyDescent="0.2">
      <c r="A33" s="1">
        <v>5.763972282409668</v>
      </c>
      <c r="B33" s="42">
        <v>3.0684720204907621E-2</v>
      </c>
      <c r="C33" s="21">
        <f t="shared" si="0"/>
        <v>0</v>
      </c>
      <c r="D33" s="21">
        <f t="shared" si="1"/>
        <v>1.9037690674863918E-2</v>
      </c>
      <c r="E33" s="21">
        <f t="shared" si="2"/>
        <v>0</v>
      </c>
      <c r="F33" s="21">
        <f t="shared" si="3"/>
        <v>0</v>
      </c>
      <c r="G33" s="21"/>
      <c r="I33" s="164" t="s">
        <v>36</v>
      </c>
      <c r="J33" s="165"/>
      <c r="K33" s="164" t="s">
        <v>49</v>
      </c>
      <c r="L33" s="165"/>
      <c r="M33" s="65"/>
      <c r="N33" s="71"/>
      <c r="O33" s="55"/>
      <c r="P33" s="116"/>
      <c r="Q33" s="125"/>
      <c r="R33" s="65"/>
      <c r="S33" s="65"/>
      <c r="T33" s="65"/>
      <c r="U33" s="65"/>
      <c r="V33" s="65"/>
    </row>
    <row r="34" spans="1:22" ht="12.4" customHeight="1" x14ac:dyDescent="0.2">
      <c r="A34" s="1">
        <v>6.3053379058837891</v>
      </c>
      <c r="B34" s="42">
        <v>3.1208127359126134E-2</v>
      </c>
      <c r="C34" s="21">
        <f t="shared" si="0"/>
        <v>0</v>
      </c>
      <c r="D34" s="21">
        <f t="shared" si="1"/>
        <v>1.936242765902026E-2</v>
      </c>
      <c r="E34" s="21">
        <f t="shared" si="2"/>
        <v>0</v>
      </c>
      <c r="F34" s="21">
        <f t="shared" si="3"/>
        <v>0</v>
      </c>
      <c r="G34" s="21"/>
      <c r="I34" s="166">
        <v>3.5787938409024313E-2</v>
      </c>
      <c r="J34" s="167"/>
      <c r="K34" s="166">
        <f>LOOKUP(I34,B$18:B$136,A$18:A$136)</f>
        <v>24.306196212768555</v>
      </c>
      <c r="L34" s="167"/>
      <c r="M34" s="157"/>
      <c r="N34" s="71"/>
      <c r="O34" s="55"/>
      <c r="P34" s="116"/>
      <c r="Q34" s="125"/>
      <c r="R34" s="65"/>
      <c r="S34" s="65"/>
      <c r="T34" s="65"/>
      <c r="U34" s="65"/>
      <c r="V34" s="65"/>
    </row>
    <row r="35" spans="1:22" ht="12.4" customHeight="1" x14ac:dyDescent="0.2">
      <c r="A35" s="1">
        <v>6.8938956260681152</v>
      </c>
      <c r="B35" s="42">
        <v>3.1600684274303771E-2</v>
      </c>
      <c r="C35" s="21">
        <f t="shared" si="0"/>
        <v>0</v>
      </c>
      <c r="D35" s="21">
        <f t="shared" si="1"/>
        <v>1.9605981358500803E-2</v>
      </c>
      <c r="E35" s="21">
        <f t="shared" si="2"/>
        <v>0</v>
      </c>
      <c r="F35" s="21">
        <f t="shared" si="3"/>
        <v>0</v>
      </c>
      <c r="G35" s="21"/>
      <c r="H35" s="123"/>
      <c r="I35" s="1"/>
      <c r="J35" s="1"/>
      <c r="K35" s="78"/>
      <c r="L35" s="78"/>
      <c r="M35" s="78"/>
      <c r="N35" s="71"/>
      <c r="O35" s="55"/>
      <c r="P35" s="116"/>
      <c r="Q35" s="125"/>
      <c r="R35" s="65"/>
      <c r="S35" s="65"/>
      <c r="T35" s="65"/>
      <c r="U35" s="65"/>
      <c r="V35" s="65"/>
    </row>
    <row r="36" spans="1:22" ht="12.4" customHeight="1" x14ac:dyDescent="0.2">
      <c r="A36" s="1">
        <v>7.542360782623291</v>
      </c>
      <c r="B36" s="42">
        <v>3.2058664759488084E-2</v>
      </c>
      <c r="C36" s="21">
        <f t="shared" si="0"/>
        <v>0</v>
      </c>
      <c r="D36" s="21">
        <f t="shared" si="1"/>
        <v>1.989012573895595E-2</v>
      </c>
      <c r="E36" s="21">
        <f t="shared" si="2"/>
        <v>0</v>
      </c>
      <c r="F36" s="21">
        <f t="shared" si="3"/>
        <v>0</v>
      </c>
      <c r="G36" s="21"/>
      <c r="H36" s="123"/>
      <c r="I36" s="1"/>
      <c r="J36" s="1"/>
      <c r="K36" s="1"/>
      <c r="L36" s="1"/>
      <c r="M36" s="1"/>
      <c r="N36" s="71"/>
      <c r="O36" s="55"/>
      <c r="P36" s="116"/>
      <c r="Q36" s="125"/>
      <c r="R36" s="65"/>
      <c r="S36" s="65"/>
      <c r="T36" s="65"/>
      <c r="U36" s="65"/>
      <c r="V36" s="65"/>
    </row>
    <row r="37" spans="1:22" ht="12.4" customHeight="1" x14ac:dyDescent="0.2">
      <c r="A37" s="1">
        <v>8.2497549057006836</v>
      </c>
      <c r="B37" s="42">
        <v>3.2582068814679073E-2</v>
      </c>
      <c r="C37" s="21">
        <f t="shared" si="0"/>
        <v>0</v>
      </c>
      <c r="D37" s="21">
        <f t="shared" si="1"/>
        <v>2.0214860800385703E-2</v>
      </c>
      <c r="E37" s="21">
        <f t="shared" si="2"/>
        <v>0</v>
      </c>
      <c r="F37" s="21">
        <f t="shared" si="3"/>
        <v>0</v>
      </c>
      <c r="G37" s="21"/>
      <c r="H37" s="123"/>
      <c r="I37" s="1"/>
      <c r="J37" s="1"/>
      <c r="K37" s="1"/>
      <c r="L37" s="1"/>
      <c r="M37" s="1"/>
      <c r="N37" s="71"/>
      <c r="O37" s="55"/>
      <c r="P37" s="116"/>
      <c r="Q37" s="125"/>
      <c r="R37" s="65"/>
      <c r="S37" s="65"/>
      <c r="T37" s="65"/>
      <c r="U37" s="65"/>
      <c r="V37" s="65"/>
    </row>
    <row r="38" spans="1:22" ht="12.4" customHeight="1" x14ac:dyDescent="0.2">
      <c r="A38" s="1">
        <v>9.0262670516967773</v>
      </c>
      <c r="B38" s="42">
        <v>3.297462572985671E-2</v>
      </c>
      <c r="C38" s="21">
        <f t="shared" si="0"/>
        <v>0</v>
      </c>
      <c r="D38" s="21">
        <f t="shared" si="1"/>
        <v>2.0458414499866247E-2</v>
      </c>
      <c r="E38" s="21">
        <f t="shared" si="2"/>
        <v>0</v>
      </c>
      <c r="F38" s="21">
        <f t="shared" si="3"/>
        <v>0</v>
      </c>
      <c r="G38" s="21"/>
      <c r="N38" s="71"/>
      <c r="O38" s="55"/>
      <c r="P38" s="116"/>
      <c r="Q38" s="125"/>
      <c r="R38" s="65"/>
      <c r="S38" s="65"/>
      <c r="T38" s="65"/>
      <c r="U38" s="65"/>
      <c r="V38" s="65"/>
    </row>
    <row r="39" spans="1:22" ht="12.4" customHeight="1" x14ac:dyDescent="0.2">
      <c r="A39" s="1">
        <v>9.8776836395263672</v>
      </c>
      <c r="B39" s="42">
        <v>3.3301752876972637E-2</v>
      </c>
      <c r="C39" s="21">
        <f t="shared" si="0"/>
        <v>0</v>
      </c>
      <c r="D39" s="21">
        <f t="shared" si="1"/>
        <v>2.0661373672919019E-2</v>
      </c>
      <c r="E39" s="21">
        <f t="shared" si="2"/>
        <v>0</v>
      </c>
      <c r="F39" s="21">
        <f t="shared" si="3"/>
        <v>0</v>
      </c>
      <c r="G39" s="21"/>
      <c r="N39" s="71"/>
      <c r="O39" s="55"/>
      <c r="P39" s="116"/>
      <c r="Q39" s="125"/>
      <c r="R39" s="65"/>
      <c r="S39" s="65"/>
      <c r="T39" s="65"/>
      <c r="U39" s="65"/>
      <c r="V39" s="65"/>
    </row>
    <row r="40" spans="1:22" ht="12.4" customHeight="1" x14ac:dyDescent="0.2">
      <c r="A40" s="1">
        <v>10.782322883605957</v>
      </c>
      <c r="B40" s="42">
        <v>3.3301752876972637E-2</v>
      </c>
      <c r="C40" s="21">
        <f t="shared" si="0"/>
        <v>0</v>
      </c>
      <c r="D40" s="21">
        <f t="shared" si="1"/>
        <v>2.0661373672919019E-2</v>
      </c>
      <c r="E40" s="21">
        <f t="shared" si="2"/>
        <v>0</v>
      </c>
      <c r="F40" s="21">
        <f t="shared" si="3"/>
        <v>0</v>
      </c>
      <c r="G40" s="21"/>
      <c r="N40" s="71"/>
      <c r="O40" s="55"/>
      <c r="P40" s="116"/>
      <c r="Q40" s="125"/>
      <c r="R40" s="65"/>
      <c r="S40" s="65"/>
      <c r="T40" s="65"/>
      <c r="U40" s="65"/>
      <c r="V40" s="65"/>
    </row>
    <row r="41" spans="1:22" ht="12.4" customHeight="1" x14ac:dyDescent="0.2">
      <c r="A41" s="1">
        <v>11.883312225341797</v>
      </c>
      <c r="B41" s="42">
        <v>3.3367179546006834E-2</v>
      </c>
      <c r="C41" s="21">
        <f t="shared" si="0"/>
        <v>0</v>
      </c>
      <c r="D41" s="21">
        <f t="shared" si="1"/>
        <v>2.0701966276620208E-2</v>
      </c>
      <c r="E41" s="21">
        <f t="shared" si="2"/>
        <v>0</v>
      </c>
      <c r="F41" s="21">
        <f t="shared" si="3"/>
        <v>0</v>
      </c>
      <c r="G41" s="21"/>
      <c r="N41" s="71"/>
      <c r="O41" s="55"/>
      <c r="P41" s="116"/>
      <c r="Q41" s="125"/>
      <c r="R41" s="65"/>
      <c r="S41" s="65"/>
      <c r="T41" s="65"/>
      <c r="U41" s="65"/>
      <c r="V41" s="65"/>
    </row>
    <row r="42" spans="1:22" ht="12.4" customHeight="1" x14ac:dyDescent="0.2">
      <c r="A42" s="1">
        <v>12.884048461914062</v>
      </c>
      <c r="B42" s="42">
        <v>3.3563456454081896E-2</v>
      </c>
      <c r="C42" s="21">
        <f t="shared" si="0"/>
        <v>0</v>
      </c>
      <c r="D42" s="21">
        <f t="shared" si="1"/>
        <v>2.0823742164997192E-2</v>
      </c>
      <c r="E42" s="21">
        <f t="shared" si="2"/>
        <v>0</v>
      </c>
      <c r="F42" s="21">
        <f t="shared" si="3"/>
        <v>0</v>
      </c>
      <c r="G42" s="21"/>
      <c r="H42" s="123"/>
      <c r="I42" s="1"/>
      <c r="J42" s="1"/>
      <c r="K42" s="1"/>
      <c r="L42" s="1"/>
      <c r="M42" s="1"/>
      <c r="N42" s="71"/>
      <c r="O42" s="55"/>
      <c r="P42" s="116"/>
      <c r="Q42" s="125"/>
      <c r="R42" s="65"/>
      <c r="S42" s="65"/>
      <c r="T42" s="65"/>
      <c r="U42" s="65"/>
      <c r="V42" s="65"/>
    </row>
    <row r="43" spans="1:22" ht="12.4" customHeight="1" x14ac:dyDescent="0.2">
      <c r="A43" s="1">
        <v>14.184564590454102</v>
      </c>
      <c r="B43" s="42">
        <v>3.3628883123116085E-2</v>
      </c>
      <c r="C43" s="21">
        <f t="shared" si="0"/>
        <v>0</v>
      </c>
      <c r="D43" s="21">
        <f t="shared" si="1"/>
        <v>2.0864334768698378E-2</v>
      </c>
      <c r="E43" s="21">
        <f t="shared" si="2"/>
        <v>0</v>
      </c>
      <c r="F43" s="21">
        <f t="shared" si="3"/>
        <v>0</v>
      </c>
      <c r="G43" s="21"/>
      <c r="H43" s="123"/>
      <c r="I43" s="1"/>
      <c r="J43" s="1"/>
      <c r="K43" s="1"/>
      <c r="L43" s="1"/>
      <c r="M43" s="25"/>
      <c r="N43" s="71"/>
      <c r="O43" s="55"/>
      <c r="P43" s="116"/>
      <c r="Q43" s="125"/>
      <c r="R43" s="65"/>
      <c r="S43" s="65"/>
      <c r="T43" s="65"/>
      <c r="U43" s="65"/>
      <c r="V43" s="65"/>
    </row>
    <row r="44" spans="1:22" ht="12.4" customHeight="1" x14ac:dyDescent="0.2">
      <c r="A44" s="1">
        <v>15.478479385375977</v>
      </c>
      <c r="B44" s="42">
        <v>3.3759736461184471E-2</v>
      </c>
      <c r="C44" s="21">
        <f t="shared" si="0"/>
        <v>0</v>
      </c>
      <c r="D44" s="21">
        <f t="shared" si="1"/>
        <v>2.0945519976100755E-2</v>
      </c>
      <c r="E44" s="21">
        <f t="shared" si="2"/>
        <v>0</v>
      </c>
      <c r="F44" s="21">
        <f t="shared" si="3"/>
        <v>0</v>
      </c>
      <c r="G44" s="21"/>
      <c r="H44" s="123"/>
      <c r="I44" s="1"/>
      <c r="J44" s="1"/>
      <c r="K44" s="1"/>
      <c r="L44" s="1"/>
      <c r="M44" s="25"/>
      <c r="N44" s="71"/>
      <c r="O44" s="55"/>
      <c r="P44" s="116"/>
      <c r="Q44" s="125"/>
      <c r="R44" s="65"/>
      <c r="S44" s="65"/>
      <c r="T44" s="65"/>
      <c r="U44" s="65"/>
      <c r="V44" s="65"/>
    </row>
    <row r="45" spans="1:22" ht="12.4" customHeight="1" x14ac:dyDescent="0.2">
      <c r="A45" s="1">
        <v>16.87272834777832</v>
      </c>
      <c r="B45" s="42">
        <v>3.4086863608300398E-2</v>
      </c>
      <c r="C45" s="21">
        <f t="shared" si="0"/>
        <v>0</v>
      </c>
      <c r="D45" s="21">
        <f t="shared" si="1"/>
        <v>2.1148479149153524E-2</v>
      </c>
      <c r="E45" s="21">
        <f t="shared" si="2"/>
        <v>0</v>
      </c>
      <c r="F45" s="21">
        <f t="shared" si="3"/>
        <v>0</v>
      </c>
      <c r="G45" s="21"/>
      <c r="H45" s="123"/>
      <c r="I45" s="1"/>
      <c r="J45" s="1"/>
      <c r="K45" s="1"/>
      <c r="L45" s="1"/>
      <c r="M45" s="25"/>
      <c r="N45" s="71"/>
      <c r="O45" s="55"/>
      <c r="P45" s="116"/>
      <c r="Q45" s="125"/>
      <c r="R45" s="65"/>
      <c r="S45" s="65"/>
      <c r="T45" s="65"/>
      <c r="U45" s="65"/>
      <c r="V45" s="65"/>
    </row>
    <row r="46" spans="1:22" ht="12.4" customHeight="1" x14ac:dyDescent="0.2">
      <c r="A46" s="1">
        <v>18.472209930419922</v>
      </c>
      <c r="B46" s="42">
        <v>3.4479420523478042E-2</v>
      </c>
      <c r="C46" s="21">
        <f t="shared" si="0"/>
        <v>0</v>
      </c>
      <c r="D46" s="21">
        <f t="shared" si="1"/>
        <v>2.1392032848634075E-2</v>
      </c>
      <c r="E46" s="21">
        <f t="shared" si="2"/>
        <v>0</v>
      </c>
      <c r="F46" s="21">
        <f t="shared" si="3"/>
        <v>0</v>
      </c>
      <c r="G46" s="21"/>
      <c r="H46" s="123"/>
      <c r="I46" s="1"/>
      <c r="J46" s="1"/>
      <c r="K46" s="1"/>
      <c r="L46" s="1"/>
      <c r="M46" s="25"/>
      <c r="N46" s="71"/>
      <c r="O46" s="55"/>
      <c r="P46" s="116"/>
      <c r="Q46" s="125"/>
      <c r="R46" s="65"/>
      <c r="S46" s="65"/>
      <c r="T46" s="65"/>
      <c r="U46" s="65"/>
      <c r="V46" s="65"/>
    </row>
    <row r="47" spans="1:22" ht="12.4" customHeight="1" x14ac:dyDescent="0.2">
      <c r="A47" s="1">
        <v>20.266654968261719</v>
      </c>
      <c r="B47" s="42">
        <v>3.4741124100587294E-2</v>
      </c>
      <c r="C47" s="21">
        <f t="shared" si="0"/>
        <v>0</v>
      </c>
      <c r="D47" s="21">
        <f t="shared" si="1"/>
        <v>2.155440134071224E-2</v>
      </c>
      <c r="E47" s="21">
        <f t="shared" si="2"/>
        <v>0</v>
      </c>
      <c r="F47" s="21">
        <f t="shared" si="3"/>
        <v>0</v>
      </c>
      <c r="G47" s="21"/>
      <c r="H47" s="123"/>
      <c r="I47" s="1"/>
      <c r="J47" s="1"/>
      <c r="K47" s="1"/>
      <c r="L47" s="1"/>
      <c r="M47" s="25"/>
      <c r="N47" s="71"/>
      <c r="O47" s="55"/>
      <c r="P47" s="116"/>
      <c r="Q47" s="125"/>
      <c r="R47" s="65"/>
      <c r="S47" s="65"/>
      <c r="T47" s="65"/>
      <c r="U47" s="65"/>
      <c r="V47" s="65"/>
    </row>
    <row r="48" spans="1:22" ht="12.4" customHeight="1" x14ac:dyDescent="0.2">
      <c r="A48" s="1">
        <v>22.155405044555664</v>
      </c>
      <c r="B48" s="42">
        <v>3.513367791673741E-2</v>
      </c>
      <c r="C48" s="21">
        <f t="shared" si="0"/>
        <v>0</v>
      </c>
      <c r="D48" s="21">
        <f t="shared" si="1"/>
        <v>2.1797953117466198E-2</v>
      </c>
      <c r="E48" s="21">
        <f t="shared" si="2"/>
        <v>0</v>
      </c>
      <c r="F48" s="21">
        <f t="shared" si="3"/>
        <v>0</v>
      </c>
      <c r="G48" s="21"/>
      <c r="H48" s="123"/>
      <c r="I48" s="1"/>
      <c r="J48" s="1"/>
      <c r="K48" s="1"/>
      <c r="L48" s="1"/>
      <c r="M48" s="25"/>
      <c r="N48" s="71"/>
      <c r="O48" s="55"/>
      <c r="P48" s="116"/>
      <c r="Q48" s="125"/>
      <c r="R48" s="65"/>
      <c r="S48" s="65"/>
      <c r="T48" s="65"/>
      <c r="U48" s="65"/>
      <c r="V48" s="65"/>
    </row>
    <row r="49" spans="1:22" ht="12.4" customHeight="1" x14ac:dyDescent="0.2">
      <c r="A49" s="1">
        <v>24.306196212768555</v>
      </c>
      <c r="B49" s="42">
        <v>3.5787938409024313E-2</v>
      </c>
      <c r="C49" s="21">
        <f t="shared" si="0"/>
        <v>0</v>
      </c>
      <c r="D49" s="21">
        <f t="shared" si="1"/>
        <v>2.2203875309024918E-2</v>
      </c>
      <c r="E49" s="21">
        <f t="shared" si="2"/>
        <v>0</v>
      </c>
      <c r="F49" s="21">
        <f t="shared" si="3"/>
        <v>0</v>
      </c>
      <c r="G49" s="21"/>
      <c r="H49" s="123"/>
      <c r="I49" s="1"/>
      <c r="J49" s="1"/>
      <c r="K49" s="1"/>
      <c r="L49" s="25"/>
      <c r="M49" s="25"/>
      <c r="N49" s="71"/>
      <c r="O49" s="55"/>
      <c r="P49" s="116"/>
      <c r="Q49" s="125"/>
      <c r="R49" s="65"/>
      <c r="S49" s="65"/>
      <c r="T49" s="65"/>
      <c r="U49" s="65"/>
      <c r="V49" s="65"/>
    </row>
    <row r="50" spans="1:22" ht="12.4" customHeight="1" x14ac:dyDescent="0.2">
      <c r="A50" s="1">
        <v>26.600929260253906</v>
      </c>
      <c r="B50" s="42">
        <v>3.618793840902431E-2</v>
      </c>
      <c r="C50" s="21">
        <f t="shared" si="0"/>
        <v>3.9999999999999758E-4</v>
      </c>
      <c r="D50" s="21">
        <f t="shared" si="1"/>
        <v>2.2452046914276436E-2</v>
      </c>
      <c r="E50" s="21">
        <f t="shared" si="2"/>
        <v>2.5380710659898321E-4</v>
      </c>
      <c r="F50" s="21">
        <f t="shared" si="3"/>
        <v>2.5380710659898321E-4</v>
      </c>
      <c r="G50" s="21"/>
      <c r="H50" s="123"/>
      <c r="I50" s="1"/>
      <c r="J50" s="1"/>
      <c r="K50" s="1"/>
      <c r="L50" s="25"/>
      <c r="M50" s="25"/>
      <c r="N50" s="71"/>
      <c r="O50" s="55"/>
      <c r="P50" s="116"/>
      <c r="Q50" s="125"/>
      <c r="R50" s="65"/>
      <c r="S50" s="65"/>
      <c r="T50" s="65"/>
      <c r="U50" s="65"/>
      <c r="V50" s="65"/>
    </row>
    <row r="51" spans="1:22" ht="12.4" customHeight="1" x14ac:dyDescent="0.2">
      <c r="A51" s="1">
        <v>28.999906539916992</v>
      </c>
      <c r="B51" s="42">
        <v>3.6687938409024311E-2</v>
      </c>
      <c r="C51" s="21">
        <f t="shared" si="0"/>
        <v>8.9999999999999802E-4</v>
      </c>
      <c r="D51" s="21">
        <f t="shared" si="1"/>
        <v>2.276226142084083E-2</v>
      </c>
      <c r="E51" s="21">
        <f t="shared" si="2"/>
        <v>5.7106598984771448E-4</v>
      </c>
      <c r="F51" s="21">
        <f t="shared" si="3"/>
        <v>3.1725888324873126E-4</v>
      </c>
      <c r="G51" s="21"/>
      <c r="H51" s="123"/>
      <c r="I51" s="1"/>
      <c r="J51" s="1"/>
      <c r="K51" s="1"/>
      <c r="L51" s="25"/>
      <c r="M51" s="25"/>
      <c r="N51" s="71"/>
      <c r="O51" s="55"/>
      <c r="P51" s="116"/>
      <c r="Q51" s="125"/>
      <c r="R51" s="65"/>
      <c r="S51" s="65"/>
      <c r="T51" s="65"/>
      <c r="U51" s="65"/>
      <c r="V51" s="65"/>
    </row>
    <row r="52" spans="1:22" ht="12.4" customHeight="1" x14ac:dyDescent="0.2">
      <c r="A52" s="1">
        <v>32.726486206054687</v>
      </c>
      <c r="B52" s="42">
        <v>3.6687938409024311E-2</v>
      </c>
      <c r="C52" s="21">
        <f t="shared" si="0"/>
        <v>8.9999999999999802E-4</v>
      </c>
      <c r="D52" s="21">
        <f t="shared" si="1"/>
        <v>2.276226142084083E-2</v>
      </c>
      <c r="E52" s="21">
        <f t="shared" si="2"/>
        <v>5.7106598984771448E-4</v>
      </c>
      <c r="F52" s="21">
        <f t="shared" si="3"/>
        <v>0</v>
      </c>
      <c r="G52" s="21"/>
      <c r="H52" s="123"/>
      <c r="I52" s="1"/>
      <c r="J52" s="1"/>
      <c r="K52" s="1"/>
      <c r="L52" s="25"/>
      <c r="M52" s="25"/>
      <c r="N52" s="71"/>
      <c r="O52" s="55"/>
      <c r="P52" s="116"/>
      <c r="Q52" s="125"/>
      <c r="R52" s="65"/>
      <c r="S52" s="65"/>
      <c r="T52" s="65"/>
      <c r="U52" s="65"/>
      <c r="V52" s="65"/>
    </row>
    <row r="53" spans="1:22" ht="12.4" customHeight="1" x14ac:dyDescent="0.2">
      <c r="A53" s="1">
        <v>34.611701965332031</v>
      </c>
      <c r="B53" s="42">
        <v>3.6687938409024311E-2</v>
      </c>
      <c r="C53" s="21">
        <f t="shared" si="0"/>
        <v>8.9999999999999802E-4</v>
      </c>
      <c r="D53" s="21">
        <f t="shared" si="1"/>
        <v>2.276226142084083E-2</v>
      </c>
      <c r="E53" s="21">
        <f t="shared" si="2"/>
        <v>5.7106598984771448E-4</v>
      </c>
      <c r="F53" s="21">
        <f t="shared" si="3"/>
        <v>0</v>
      </c>
      <c r="G53" s="21"/>
      <c r="H53" s="123"/>
      <c r="I53" s="1"/>
      <c r="J53" s="1"/>
      <c r="K53" s="1"/>
      <c r="L53" s="25"/>
      <c r="M53" s="25"/>
      <c r="N53" s="71"/>
      <c r="O53" s="55"/>
      <c r="P53" s="116"/>
      <c r="Q53" s="125"/>
      <c r="R53" s="65"/>
      <c r="S53" s="65"/>
      <c r="T53" s="65"/>
      <c r="U53" s="65"/>
      <c r="V53" s="65"/>
    </row>
    <row r="54" spans="1:22" ht="12.4" customHeight="1" x14ac:dyDescent="0.2">
      <c r="A54" s="1">
        <v>36.369148254394531</v>
      </c>
      <c r="B54" s="42">
        <v>3.6687938409024311E-2</v>
      </c>
      <c r="C54" s="21">
        <f t="shared" si="0"/>
        <v>8.9999999999999802E-4</v>
      </c>
      <c r="D54" s="21">
        <f t="shared" si="1"/>
        <v>2.276226142084083E-2</v>
      </c>
      <c r="E54" s="21">
        <f t="shared" si="2"/>
        <v>5.7106598984771448E-4</v>
      </c>
      <c r="F54" s="21">
        <f t="shared" si="3"/>
        <v>0</v>
      </c>
      <c r="G54" s="21"/>
      <c r="H54" s="123"/>
      <c r="I54" s="1"/>
      <c r="J54" s="1"/>
      <c r="K54" s="1"/>
      <c r="L54" s="25"/>
      <c r="M54" s="25"/>
      <c r="N54" s="71"/>
      <c r="O54" s="55"/>
      <c r="P54" s="116"/>
      <c r="Q54" s="125"/>
      <c r="R54" s="65"/>
      <c r="S54" s="65"/>
      <c r="T54" s="65"/>
      <c r="U54" s="65"/>
      <c r="V54" s="65"/>
    </row>
    <row r="55" spans="1:22" ht="12.4" customHeight="1" x14ac:dyDescent="0.2">
      <c r="A55" s="1">
        <v>40.818695068359375</v>
      </c>
      <c r="B55" s="42">
        <v>3.6687938409024311E-2</v>
      </c>
      <c r="C55" s="21">
        <f t="shared" si="0"/>
        <v>8.9999999999999802E-4</v>
      </c>
      <c r="D55" s="21">
        <f t="shared" si="1"/>
        <v>2.276226142084083E-2</v>
      </c>
      <c r="E55" s="21">
        <f t="shared" si="2"/>
        <v>5.7106598984771448E-4</v>
      </c>
      <c r="F55" s="21">
        <f t="shared" si="3"/>
        <v>0</v>
      </c>
      <c r="G55" s="21"/>
      <c r="H55" s="123"/>
      <c r="I55" s="1"/>
      <c r="J55" s="1"/>
      <c r="K55" s="1"/>
      <c r="L55" s="25"/>
      <c r="M55" s="25"/>
      <c r="N55" s="71"/>
      <c r="O55" s="55"/>
      <c r="P55" s="116"/>
      <c r="Q55" s="125"/>
      <c r="R55" s="65"/>
      <c r="S55" s="65"/>
      <c r="T55" s="65"/>
      <c r="U55" s="65"/>
      <c r="V55" s="65"/>
    </row>
    <row r="56" spans="1:22" ht="12.4" customHeight="1" x14ac:dyDescent="0.2">
      <c r="A56" s="1">
        <v>47.708099365234375</v>
      </c>
      <c r="B56" s="42">
        <v>3.6687938409024311E-2</v>
      </c>
      <c r="C56" s="21">
        <f t="shared" si="0"/>
        <v>8.9999999999999802E-4</v>
      </c>
      <c r="D56" s="21">
        <f t="shared" si="1"/>
        <v>2.276226142084083E-2</v>
      </c>
      <c r="E56" s="21">
        <f t="shared" si="2"/>
        <v>5.7106598984771448E-4</v>
      </c>
      <c r="F56" s="21">
        <f t="shared" si="3"/>
        <v>0</v>
      </c>
      <c r="G56" s="21"/>
      <c r="H56" s="123"/>
      <c r="I56" s="1"/>
      <c r="J56" s="1"/>
      <c r="K56" s="1"/>
      <c r="L56" s="25"/>
      <c r="M56" s="25"/>
      <c r="N56" s="71"/>
      <c r="O56" s="55"/>
      <c r="P56" s="116"/>
      <c r="Q56" s="125"/>
      <c r="R56" s="65"/>
      <c r="S56" s="65"/>
      <c r="T56" s="65"/>
      <c r="U56" s="65"/>
      <c r="V56" s="65"/>
    </row>
    <row r="57" spans="1:22" ht="12.4" customHeight="1" x14ac:dyDescent="0.2">
      <c r="A57" s="1">
        <v>52.035938262939453</v>
      </c>
      <c r="B57" s="42">
        <v>3.6687938409024311E-2</v>
      </c>
      <c r="C57" s="21">
        <f t="shared" si="0"/>
        <v>8.9999999999999802E-4</v>
      </c>
      <c r="D57" s="21">
        <f t="shared" si="1"/>
        <v>2.276226142084083E-2</v>
      </c>
      <c r="E57" s="21">
        <f t="shared" si="2"/>
        <v>5.7106598984771448E-4</v>
      </c>
      <c r="F57" s="21">
        <f t="shared" si="3"/>
        <v>0</v>
      </c>
      <c r="G57" s="21"/>
      <c r="H57" s="123"/>
      <c r="I57" s="25"/>
      <c r="J57" s="1"/>
      <c r="K57" s="1"/>
      <c r="L57" s="25"/>
      <c r="M57" s="25"/>
      <c r="N57" s="71"/>
      <c r="O57" s="55"/>
      <c r="P57" s="116"/>
      <c r="Q57" s="125"/>
      <c r="R57" s="65"/>
      <c r="S57" s="65"/>
      <c r="T57" s="65"/>
      <c r="U57" s="65"/>
      <c r="V57" s="65"/>
    </row>
    <row r="58" spans="1:22" ht="12.4" customHeight="1" x14ac:dyDescent="0.2">
      <c r="A58" s="1">
        <v>55.142673492431641</v>
      </c>
      <c r="B58" s="42">
        <v>3.6687938409024311E-2</v>
      </c>
      <c r="C58" s="21">
        <f t="shared" si="0"/>
        <v>8.9999999999999802E-4</v>
      </c>
      <c r="D58" s="21">
        <f t="shared" si="1"/>
        <v>2.276226142084083E-2</v>
      </c>
      <c r="E58" s="21">
        <f t="shared" si="2"/>
        <v>5.7106598984771448E-4</v>
      </c>
      <c r="F58" s="21">
        <f t="shared" si="3"/>
        <v>0</v>
      </c>
      <c r="G58" s="21"/>
      <c r="H58" s="123"/>
      <c r="I58" s="25"/>
      <c r="J58" s="1"/>
      <c r="K58" s="1"/>
      <c r="L58" s="25"/>
      <c r="M58" s="25"/>
      <c r="N58" s="71"/>
      <c r="O58" s="55"/>
      <c r="P58" s="116"/>
      <c r="Q58" s="125"/>
      <c r="R58" s="65"/>
      <c r="S58" s="65"/>
      <c r="T58" s="65"/>
      <c r="U58" s="65"/>
      <c r="V58" s="65"/>
    </row>
    <row r="59" spans="1:22" ht="12.4" customHeight="1" x14ac:dyDescent="0.2">
      <c r="A59" s="1">
        <v>58.945449829101563</v>
      </c>
      <c r="B59" s="42">
        <v>3.6687938409024311E-2</v>
      </c>
      <c r="C59" s="21">
        <f t="shared" si="0"/>
        <v>8.9999999999999802E-4</v>
      </c>
      <c r="D59" s="21">
        <f t="shared" si="1"/>
        <v>2.276226142084083E-2</v>
      </c>
      <c r="E59" s="21">
        <f t="shared" si="2"/>
        <v>5.7106598984771448E-4</v>
      </c>
      <c r="F59" s="21">
        <f t="shared" si="3"/>
        <v>0</v>
      </c>
      <c r="G59" s="21"/>
      <c r="H59" s="123"/>
      <c r="I59" s="25"/>
      <c r="J59" s="1"/>
      <c r="K59" s="1"/>
      <c r="L59" s="25"/>
      <c r="M59" s="25"/>
      <c r="N59" s="71"/>
      <c r="O59" s="55"/>
      <c r="P59" s="116"/>
      <c r="Q59" s="125"/>
      <c r="R59" s="65"/>
      <c r="S59" s="65"/>
      <c r="T59" s="65"/>
      <c r="U59" s="65"/>
      <c r="V59" s="65"/>
    </row>
    <row r="60" spans="1:22" ht="12.4" customHeight="1" x14ac:dyDescent="0.2">
      <c r="A60" s="1">
        <v>65.416816711425781</v>
      </c>
      <c r="B60" s="42">
        <v>3.7287938409024314E-2</v>
      </c>
      <c r="C60" s="21">
        <f t="shared" si="0"/>
        <v>1.5000000000000013E-3</v>
      </c>
      <c r="D60" s="21">
        <f t="shared" si="1"/>
        <v>2.3134518828718108E-2</v>
      </c>
      <c r="E60" s="21">
        <f t="shared" si="2"/>
        <v>9.5177664974619369E-4</v>
      </c>
      <c r="F60" s="21">
        <f t="shared" si="3"/>
        <v>3.8071065989847921E-4</v>
      </c>
      <c r="G60" s="21"/>
      <c r="H60" s="123"/>
      <c r="I60" s="25"/>
      <c r="J60" s="1"/>
      <c r="K60" s="1"/>
      <c r="L60" s="25"/>
      <c r="M60" s="25"/>
      <c r="N60" s="71"/>
      <c r="O60" s="55"/>
      <c r="P60" s="116"/>
      <c r="Q60" s="125"/>
      <c r="R60" s="65"/>
      <c r="S60" s="65"/>
      <c r="T60" s="65"/>
      <c r="U60" s="65"/>
      <c r="V60" s="65"/>
    </row>
    <row r="61" spans="1:22" ht="12.4" customHeight="1" x14ac:dyDescent="0.2">
      <c r="A61" s="1">
        <v>72.498161315917969</v>
      </c>
      <c r="B61" s="42">
        <v>3.858793840902431E-2</v>
      </c>
      <c r="C61" s="21">
        <f t="shared" si="0"/>
        <v>2.7999999999999969E-3</v>
      </c>
      <c r="D61" s="21">
        <f t="shared" si="1"/>
        <v>2.3941076545785533E-2</v>
      </c>
      <c r="E61" s="21">
        <f t="shared" si="2"/>
        <v>1.7766497461928915E-3</v>
      </c>
      <c r="F61" s="21">
        <f t="shared" si="3"/>
        <v>8.248730964466978E-4</v>
      </c>
      <c r="G61" s="21"/>
      <c r="H61" s="123"/>
      <c r="I61" s="25"/>
      <c r="J61" s="1"/>
      <c r="K61" s="1"/>
      <c r="L61" s="25"/>
      <c r="M61" s="25"/>
      <c r="N61" s="71"/>
      <c r="O61" s="55"/>
      <c r="P61" s="116"/>
      <c r="Q61" s="125"/>
      <c r="R61" s="65"/>
      <c r="S61" s="65"/>
      <c r="T61" s="65"/>
      <c r="U61" s="65"/>
      <c r="V61" s="65"/>
    </row>
    <row r="62" spans="1:22" ht="12.4" customHeight="1" x14ac:dyDescent="0.2">
      <c r="A62" s="1">
        <v>78.024925231933594</v>
      </c>
      <c r="B62" s="42">
        <v>4.0187938409024314E-2</v>
      </c>
      <c r="C62" s="21">
        <f t="shared" si="0"/>
        <v>4.4000000000000011E-3</v>
      </c>
      <c r="D62" s="21">
        <f t="shared" si="1"/>
        <v>2.49337629667916E-2</v>
      </c>
      <c r="E62" s="21">
        <f t="shared" si="2"/>
        <v>2.7918781725888332E-3</v>
      </c>
      <c r="F62" s="21">
        <f t="shared" si="3"/>
        <v>1.0152284263959417E-3</v>
      </c>
      <c r="G62" s="21"/>
      <c r="H62" s="123"/>
      <c r="I62" s="25"/>
      <c r="J62" s="1"/>
      <c r="K62" s="1"/>
      <c r="L62" s="25"/>
      <c r="M62" s="25"/>
      <c r="N62" s="71"/>
      <c r="O62" s="55"/>
      <c r="P62" s="116"/>
      <c r="Q62" s="125"/>
      <c r="R62" s="65"/>
      <c r="S62" s="65"/>
      <c r="T62" s="65"/>
      <c r="U62" s="65"/>
      <c r="V62" s="65"/>
    </row>
    <row r="63" spans="1:22" ht="12.4" customHeight="1" x14ac:dyDescent="0.2">
      <c r="A63" s="1">
        <v>87.026710510253906</v>
      </c>
      <c r="B63" s="42">
        <v>4.4987938409024313E-2</v>
      </c>
      <c r="C63" s="21">
        <f t="shared" si="0"/>
        <v>9.1999999999999998E-3</v>
      </c>
      <c r="D63" s="21">
        <f t="shared" si="1"/>
        <v>2.7911822229809799E-2</v>
      </c>
      <c r="E63" s="21">
        <f t="shared" si="2"/>
        <v>5.8375634517766496E-3</v>
      </c>
      <c r="F63" s="21">
        <f t="shared" si="3"/>
        <v>3.0456852791878163E-3</v>
      </c>
      <c r="G63" s="21"/>
      <c r="H63" s="123"/>
      <c r="I63" s="25"/>
      <c r="J63" s="1"/>
      <c r="K63" s="1"/>
      <c r="L63" s="25"/>
      <c r="M63" s="25"/>
      <c r="N63" s="71"/>
      <c r="O63" s="55"/>
      <c r="P63" s="116"/>
      <c r="Q63" s="125"/>
      <c r="R63" s="65"/>
      <c r="S63" s="65"/>
      <c r="T63" s="65"/>
      <c r="U63" s="65"/>
      <c r="V63" s="65"/>
    </row>
    <row r="64" spans="1:22" x14ac:dyDescent="0.2">
      <c r="A64" s="1">
        <v>93.615623474121094</v>
      </c>
      <c r="B64" s="42">
        <v>4.948793840902431E-2</v>
      </c>
      <c r="C64" s="21">
        <f t="shared" si="0"/>
        <v>1.3699999999999997E-2</v>
      </c>
      <c r="D64" s="21">
        <f t="shared" si="1"/>
        <v>3.0703752788889357E-2</v>
      </c>
      <c r="E64" s="21">
        <f t="shared" si="2"/>
        <v>8.6928934010152264E-3</v>
      </c>
      <c r="F64" s="21">
        <f t="shared" si="3"/>
        <v>2.8553299492385768E-3</v>
      </c>
      <c r="G64" s="21"/>
      <c r="H64" s="123"/>
      <c r="I64" s="25"/>
      <c r="J64" s="1"/>
      <c r="K64" s="1"/>
      <c r="L64" s="25"/>
      <c r="M64" s="25"/>
      <c r="N64" s="71"/>
      <c r="O64" s="55"/>
      <c r="P64" s="116"/>
      <c r="Q64" s="125"/>
      <c r="R64" s="65"/>
      <c r="S64" s="65"/>
      <c r="T64" s="65"/>
      <c r="U64" s="65"/>
      <c r="V64" s="65"/>
    </row>
    <row r="65" spans="1:22" x14ac:dyDescent="0.2">
      <c r="A65" s="1">
        <v>101.14696502685547</v>
      </c>
      <c r="B65" s="42">
        <v>5.6687938409024308E-2</v>
      </c>
      <c r="C65" s="21">
        <f t="shared" si="0"/>
        <v>2.0899999999999995E-2</v>
      </c>
      <c r="D65" s="21">
        <f t="shared" si="1"/>
        <v>3.5170841683416651E-2</v>
      </c>
      <c r="E65" s="21">
        <f t="shared" si="2"/>
        <v>1.326142131979695E-2</v>
      </c>
      <c r="F65" s="21">
        <f t="shared" si="3"/>
        <v>4.5685279187817236E-3</v>
      </c>
      <c r="G65" s="21"/>
      <c r="H65" s="123"/>
      <c r="I65" s="25"/>
      <c r="J65" s="1"/>
      <c r="K65" s="1"/>
      <c r="L65" s="25"/>
      <c r="M65" s="25"/>
      <c r="N65" s="71"/>
      <c r="O65" s="55"/>
      <c r="P65" s="116"/>
      <c r="Q65" s="125"/>
      <c r="R65" s="65"/>
      <c r="S65" s="65"/>
      <c r="T65" s="65"/>
      <c r="U65" s="65"/>
      <c r="V65" s="65"/>
    </row>
    <row r="66" spans="1:22" x14ac:dyDescent="0.2">
      <c r="A66" s="1">
        <v>112.00489807128906</v>
      </c>
      <c r="B66" s="42">
        <v>8.7887938409024313E-2</v>
      </c>
      <c r="C66" s="21">
        <f t="shared" si="0"/>
        <v>5.21E-2</v>
      </c>
      <c r="D66" s="21">
        <f t="shared" si="1"/>
        <v>5.4528226893034944E-2</v>
      </c>
      <c r="E66" s="21">
        <f t="shared" si="2"/>
        <v>3.3058375634517766E-2</v>
      </c>
      <c r="F66" s="21">
        <f t="shared" si="3"/>
        <v>1.9796954314720817E-2</v>
      </c>
      <c r="G66" s="21"/>
      <c r="H66" s="123"/>
      <c r="I66" s="25"/>
      <c r="J66" s="1"/>
      <c r="K66" s="1"/>
      <c r="L66" s="25"/>
      <c r="M66" s="25"/>
      <c r="N66" s="71"/>
      <c r="O66" s="55"/>
      <c r="P66" s="116"/>
      <c r="Q66" s="125"/>
      <c r="R66" s="65"/>
      <c r="S66" s="65"/>
      <c r="T66" s="65"/>
      <c r="U66" s="65"/>
      <c r="V66" s="65"/>
    </row>
    <row r="67" spans="1:22" x14ac:dyDescent="0.2">
      <c r="A67" s="1">
        <v>121.45084381103516</v>
      </c>
      <c r="B67" s="42">
        <v>0.1305879384090243</v>
      </c>
      <c r="C67" s="21">
        <f t="shared" si="0"/>
        <v>9.4799999999999995E-2</v>
      </c>
      <c r="D67" s="21">
        <f t="shared" si="1"/>
        <v>8.1020545753634321E-2</v>
      </c>
      <c r="E67" s="21">
        <f t="shared" si="2"/>
        <v>6.0152284263959382E-2</v>
      </c>
      <c r="F67" s="21">
        <f t="shared" si="3"/>
        <v>2.7093908629441617E-2</v>
      </c>
      <c r="G67" s="21"/>
      <c r="H67" s="123"/>
      <c r="I67" s="25"/>
      <c r="J67" s="1"/>
      <c r="K67" s="25"/>
      <c r="L67" s="25"/>
      <c r="M67" s="25"/>
      <c r="N67" s="71"/>
      <c r="O67" s="55"/>
      <c r="P67" s="116"/>
      <c r="Q67" s="125"/>
      <c r="R67" s="65"/>
      <c r="S67" s="65"/>
      <c r="T67" s="65"/>
      <c r="U67" s="65"/>
      <c r="V67" s="65"/>
    </row>
    <row r="68" spans="1:22" x14ac:dyDescent="0.2">
      <c r="A68" s="1">
        <v>132.34272766113281</v>
      </c>
      <c r="B68" s="42">
        <v>0.19778793840902431</v>
      </c>
      <c r="C68" s="21">
        <f t="shared" si="0"/>
        <v>0.16200000000000001</v>
      </c>
      <c r="D68" s="21">
        <f t="shared" si="1"/>
        <v>0.1227133754358891</v>
      </c>
      <c r="E68" s="21">
        <f t="shared" si="2"/>
        <v>0.10279187817258884</v>
      </c>
      <c r="F68" s="21">
        <f t="shared" si="3"/>
        <v>4.2639593908629453E-2</v>
      </c>
      <c r="G68" s="21"/>
      <c r="H68" s="123"/>
      <c r="I68" s="25"/>
      <c r="J68" s="1"/>
      <c r="K68" s="25"/>
      <c r="L68" s="25"/>
      <c r="M68" s="25"/>
      <c r="N68" s="71"/>
      <c r="O68" s="55"/>
      <c r="P68" s="116"/>
      <c r="Q68" s="65"/>
      <c r="R68" s="65"/>
      <c r="S68" s="65"/>
      <c r="T68" s="65"/>
      <c r="U68" s="65"/>
      <c r="V68" s="65"/>
    </row>
    <row r="69" spans="1:22" x14ac:dyDescent="0.2">
      <c r="A69" s="1">
        <v>146.10365295410156</v>
      </c>
      <c r="B69" s="42">
        <v>0.30698793840902433</v>
      </c>
      <c r="C69" s="21">
        <f t="shared" si="0"/>
        <v>0.2712</v>
      </c>
      <c r="D69" s="21">
        <f t="shared" si="1"/>
        <v>0.19046422366955312</v>
      </c>
      <c r="E69" s="21">
        <f t="shared" si="2"/>
        <v>0.17208121827411166</v>
      </c>
      <c r="F69" s="21">
        <f t="shared" si="3"/>
        <v>6.9289340101522823E-2</v>
      </c>
      <c r="G69" s="21"/>
      <c r="H69" s="123"/>
      <c r="I69" s="25"/>
      <c r="J69" s="141"/>
      <c r="K69" s="25"/>
      <c r="L69" s="25"/>
      <c r="M69" s="141"/>
      <c r="N69" s="71"/>
      <c r="O69" s="55"/>
      <c r="P69" s="116"/>
      <c r="Q69" s="65"/>
      <c r="R69" s="65"/>
      <c r="S69" s="65"/>
      <c r="T69" s="65"/>
      <c r="U69" s="65"/>
      <c r="V69" s="65"/>
    </row>
    <row r="70" spans="1:22" x14ac:dyDescent="0.2">
      <c r="A70" s="1">
        <v>159.38531494140625</v>
      </c>
      <c r="B70" s="42">
        <v>0.42148793840902432</v>
      </c>
      <c r="C70" s="21">
        <f t="shared" si="0"/>
        <v>0.38569999999999999</v>
      </c>
      <c r="D70" s="21">
        <f t="shared" si="1"/>
        <v>0.2615033456727997</v>
      </c>
      <c r="E70" s="21">
        <f t="shared" si="2"/>
        <v>0.24473350253807105</v>
      </c>
      <c r="F70" s="21">
        <f t="shared" si="3"/>
        <v>7.2652284263959394E-2</v>
      </c>
      <c r="G70" s="21"/>
      <c r="H70" s="123"/>
      <c r="I70" s="25"/>
      <c r="J70" s="141"/>
      <c r="K70" s="25"/>
      <c r="L70" s="25"/>
      <c r="M70" s="141"/>
      <c r="N70" s="71"/>
      <c r="O70" s="55"/>
      <c r="P70" s="116"/>
      <c r="Q70" s="65"/>
      <c r="R70" s="65"/>
      <c r="S70" s="65"/>
      <c r="T70" s="65"/>
      <c r="U70" s="65"/>
      <c r="V70" s="65"/>
    </row>
    <row r="71" spans="1:22" x14ac:dyDescent="0.2">
      <c r="A71" s="1">
        <v>173.61466979980469</v>
      </c>
      <c r="B71" s="42">
        <v>0.54148793840902432</v>
      </c>
      <c r="C71" s="21">
        <f t="shared" si="0"/>
        <v>0.50570000000000004</v>
      </c>
      <c r="D71" s="21">
        <f t="shared" si="1"/>
        <v>0.33595482724825465</v>
      </c>
      <c r="E71" s="21">
        <f t="shared" si="2"/>
        <v>0.32087563451776652</v>
      </c>
      <c r="F71" s="21">
        <f t="shared" si="3"/>
        <v>7.6142131979695465E-2</v>
      </c>
      <c r="G71" s="21"/>
      <c r="H71" s="123"/>
      <c r="I71" s="25"/>
      <c r="J71" s="141"/>
      <c r="K71" s="25"/>
      <c r="L71" s="25"/>
      <c r="M71" s="141"/>
      <c r="N71" s="71"/>
      <c r="O71" s="55"/>
      <c r="P71" s="116"/>
      <c r="Q71" s="65"/>
      <c r="R71" s="65"/>
      <c r="S71" s="65"/>
      <c r="T71" s="65"/>
      <c r="U71" s="65"/>
      <c r="V71" s="65"/>
    </row>
    <row r="72" spans="1:22" x14ac:dyDescent="0.2">
      <c r="A72" s="1">
        <v>190.53811645507812</v>
      </c>
      <c r="B72" s="42">
        <v>0.62488793840902424</v>
      </c>
      <c r="C72" s="21">
        <f t="shared" si="0"/>
        <v>0.58909999999999996</v>
      </c>
      <c r="D72" s="21">
        <f t="shared" si="1"/>
        <v>0.3876986069431958</v>
      </c>
      <c r="E72" s="21">
        <f t="shared" si="2"/>
        <v>0.37379441624365478</v>
      </c>
      <c r="F72" s="21">
        <f t="shared" si="3"/>
        <v>5.2918781725888264E-2</v>
      </c>
      <c r="G72" s="21"/>
      <c r="H72" s="123"/>
      <c r="I72" s="25"/>
      <c r="J72" s="141"/>
      <c r="K72" s="25"/>
      <c r="L72" s="25"/>
      <c r="M72" s="141"/>
      <c r="N72" s="71"/>
      <c r="O72" s="55"/>
      <c r="P72" s="116"/>
      <c r="Q72" s="65"/>
      <c r="R72" s="65"/>
      <c r="S72" s="65"/>
      <c r="T72" s="65"/>
      <c r="U72" s="65"/>
      <c r="V72" s="65"/>
    </row>
    <row r="73" spans="1:22" x14ac:dyDescent="0.2">
      <c r="A73" s="1">
        <v>207.46356201171875</v>
      </c>
      <c r="B73" s="42">
        <v>0.67158793840902431</v>
      </c>
      <c r="C73" s="21">
        <f t="shared" si="0"/>
        <v>0.63580000000000003</v>
      </c>
      <c r="D73" s="21">
        <f t="shared" si="1"/>
        <v>0.41667264185631042</v>
      </c>
      <c r="E73" s="21">
        <f t="shared" si="2"/>
        <v>0.4034263959390863</v>
      </c>
      <c r="F73" s="21">
        <f t="shared" si="3"/>
        <v>2.9631979695431521E-2</v>
      </c>
      <c r="G73" s="21"/>
      <c r="H73" s="123"/>
      <c r="I73" s="25"/>
      <c r="J73" s="141"/>
      <c r="K73" s="25"/>
      <c r="L73" s="25"/>
      <c r="M73" s="141"/>
      <c r="N73" s="71"/>
      <c r="O73" s="55"/>
      <c r="P73" s="116"/>
      <c r="Q73" s="65"/>
      <c r="R73" s="65"/>
      <c r="S73" s="65"/>
      <c r="T73" s="65"/>
      <c r="U73" s="65"/>
      <c r="V73" s="65"/>
    </row>
    <row r="74" spans="1:22" x14ac:dyDescent="0.2">
      <c r="A74" s="1">
        <v>227.41241455078125</v>
      </c>
      <c r="B74" s="42">
        <v>0.71468793840902423</v>
      </c>
      <c r="C74" s="21">
        <f t="shared" si="0"/>
        <v>0.67889999999999995</v>
      </c>
      <c r="D74" s="21">
        <f t="shared" si="1"/>
        <v>0.44341313232216129</v>
      </c>
      <c r="E74" s="21">
        <f t="shared" si="2"/>
        <v>0.43077411167512686</v>
      </c>
      <c r="F74" s="21">
        <f t="shared" si="3"/>
        <v>2.7347715736040557E-2</v>
      </c>
      <c r="G74" s="21"/>
      <c r="H74" s="123"/>
      <c r="I74" s="25"/>
      <c r="J74" s="141"/>
      <c r="K74" s="25"/>
      <c r="L74" s="141"/>
      <c r="M74" s="141"/>
      <c r="N74" s="71"/>
      <c r="O74" s="55"/>
      <c r="P74" s="116"/>
      <c r="Q74" s="65"/>
      <c r="R74" s="65"/>
      <c r="S74" s="65"/>
      <c r="T74" s="65"/>
      <c r="U74" s="65"/>
      <c r="V74" s="65"/>
    </row>
    <row r="75" spans="1:22" x14ac:dyDescent="0.2">
      <c r="A75" s="1">
        <v>249.58480834960937</v>
      </c>
      <c r="B75" s="42">
        <v>0.75378793840902425</v>
      </c>
      <c r="C75" s="21">
        <f t="shared" si="0"/>
        <v>0.71799999999999997</v>
      </c>
      <c r="D75" s="21">
        <f t="shared" si="1"/>
        <v>0.46767190673549702</v>
      </c>
      <c r="E75" s="21">
        <f t="shared" si="2"/>
        <v>0.45558375634517762</v>
      </c>
      <c r="F75" s="21">
        <f t="shared" si="3"/>
        <v>2.4809644670050757E-2</v>
      </c>
      <c r="G75" s="21"/>
      <c r="H75" s="123"/>
      <c r="I75" s="25"/>
      <c r="J75" s="141"/>
      <c r="K75" s="25"/>
      <c r="L75" s="141"/>
      <c r="M75" s="141"/>
      <c r="N75" s="71"/>
      <c r="O75" s="55"/>
      <c r="P75" s="116"/>
      <c r="Q75" s="65"/>
      <c r="R75" s="65"/>
      <c r="S75" s="65"/>
      <c r="T75" s="65"/>
      <c r="U75" s="65"/>
      <c r="V75" s="65"/>
    </row>
    <row r="76" spans="1:22" x14ac:dyDescent="0.2">
      <c r="A76" s="1">
        <v>272.56744384765625</v>
      </c>
      <c r="B76" s="42">
        <v>0.79088793840902427</v>
      </c>
      <c r="C76" s="21">
        <f t="shared" si="0"/>
        <v>0.75509999999999999</v>
      </c>
      <c r="D76" s="21">
        <f t="shared" si="1"/>
        <v>0.4906898231225752</v>
      </c>
      <c r="E76" s="21">
        <f t="shared" si="2"/>
        <v>0.47912436548223347</v>
      </c>
      <c r="F76" s="21">
        <f t="shared" si="3"/>
        <v>2.3540609137055857E-2</v>
      </c>
      <c r="G76" s="21"/>
      <c r="H76" s="123"/>
      <c r="I76" s="25"/>
      <c r="J76" s="141"/>
      <c r="K76" s="25"/>
      <c r="L76" s="141"/>
      <c r="M76" s="141"/>
      <c r="N76" s="71"/>
      <c r="O76" s="55"/>
      <c r="P76" s="116"/>
      <c r="Q76" s="65"/>
      <c r="R76" s="65"/>
      <c r="S76" s="65"/>
      <c r="T76" s="65"/>
      <c r="U76" s="65"/>
      <c r="V76" s="65"/>
    </row>
    <row r="77" spans="1:22" x14ac:dyDescent="0.2">
      <c r="A77" s="1">
        <v>298.39706420898437</v>
      </c>
      <c r="B77" s="42">
        <v>0.8258879384090243</v>
      </c>
      <c r="C77" s="21">
        <f t="shared" si="0"/>
        <v>0.79010000000000002</v>
      </c>
      <c r="D77" s="21">
        <f t="shared" si="1"/>
        <v>0.51240483858208286</v>
      </c>
      <c r="E77" s="21">
        <f t="shared" si="2"/>
        <v>0.50133248730964464</v>
      </c>
      <c r="F77" s="21">
        <f t="shared" si="3"/>
        <v>2.2208121827411165E-2</v>
      </c>
      <c r="G77" s="21"/>
      <c r="H77" s="123"/>
      <c r="I77" s="25"/>
      <c r="J77" s="141"/>
      <c r="K77" s="25"/>
      <c r="L77" s="141"/>
      <c r="M77" s="141"/>
      <c r="N77" s="71"/>
      <c r="O77" s="55"/>
      <c r="P77" s="116"/>
      <c r="Q77" s="65"/>
      <c r="R77" s="65"/>
      <c r="S77" s="65"/>
      <c r="T77" s="65"/>
      <c r="U77" s="65"/>
      <c r="V77" s="65"/>
    </row>
    <row r="78" spans="1:22" x14ac:dyDescent="0.2">
      <c r="A78" s="1">
        <v>326.55191040039062</v>
      </c>
      <c r="B78" s="42">
        <v>0.85458793840902425</v>
      </c>
      <c r="C78" s="21">
        <f t="shared" si="0"/>
        <v>0.81879999999999997</v>
      </c>
      <c r="D78" s="21">
        <f t="shared" si="1"/>
        <v>0.53021115125887919</v>
      </c>
      <c r="E78" s="21">
        <f t="shared" si="2"/>
        <v>0.51954314720812178</v>
      </c>
      <c r="F78" s="21">
        <f t="shared" si="3"/>
        <v>1.8210659898477144E-2</v>
      </c>
      <c r="G78" s="21"/>
      <c r="H78" s="123"/>
      <c r="I78" s="25"/>
      <c r="J78" s="141"/>
      <c r="K78" s="25"/>
      <c r="L78" s="141"/>
      <c r="M78" s="141"/>
      <c r="N78" s="71"/>
      <c r="O78" s="55"/>
      <c r="P78" s="116"/>
      <c r="Q78" s="65"/>
      <c r="R78" s="65"/>
      <c r="S78" s="65"/>
      <c r="T78" s="65"/>
      <c r="U78" s="65"/>
      <c r="V78" s="65"/>
    </row>
    <row r="79" spans="1:22" x14ac:dyDescent="0.2">
      <c r="A79" s="1">
        <v>356.93722534179687</v>
      </c>
      <c r="B79" s="42">
        <v>0.88228793840902431</v>
      </c>
      <c r="C79" s="21">
        <f t="shared" si="0"/>
        <v>0.84650000000000003</v>
      </c>
      <c r="D79" s="21">
        <f t="shared" si="1"/>
        <v>0.54739703492254677</v>
      </c>
      <c r="E79" s="21">
        <f t="shared" si="2"/>
        <v>0.53711928934010156</v>
      </c>
      <c r="F79" s="21">
        <f t="shared" si="3"/>
        <v>1.7576142131979777E-2</v>
      </c>
      <c r="G79" s="21"/>
      <c r="H79" s="123"/>
      <c r="I79" s="25"/>
      <c r="J79" s="141"/>
      <c r="K79" s="25"/>
      <c r="L79" s="141"/>
      <c r="M79" s="141"/>
      <c r="N79" s="71"/>
      <c r="O79" s="55"/>
      <c r="P79" s="116"/>
      <c r="Q79" s="65"/>
      <c r="R79" s="65"/>
      <c r="S79" s="65"/>
      <c r="T79" s="65"/>
      <c r="U79" s="65"/>
      <c r="V79" s="65"/>
    </row>
    <row r="80" spans="1:22" x14ac:dyDescent="0.2">
      <c r="A80" s="1">
        <v>391.13479614257812</v>
      </c>
      <c r="B80" s="42">
        <v>0.90838793840902432</v>
      </c>
      <c r="C80" s="21">
        <f t="shared" si="0"/>
        <v>0.87260000000000004</v>
      </c>
      <c r="D80" s="21">
        <f t="shared" si="1"/>
        <v>0.5635902321652082</v>
      </c>
      <c r="E80" s="21">
        <f t="shared" si="2"/>
        <v>0.55368020304568533</v>
      </c>
      <c r="F80" s="21">
        <f t="shared" si="3"/>
        <v>1.6560913705583769E-2</v>
      </c>
      <c r="G80" s="21"/>
      <c r="H80" s="123"/>
      <c r="I80" s="25"/>
      <c r="J80" s="141"/>
      <c r="K80" s="25"/>
      <c r="L80" s="141"/>
      <c r="M80" s="141"/>
      <c r="N80" s="71"/>
      <c r="O80" s="55"/>
      <c r="P80" s="116"/>
      <c r="Q80" s="65"/>
      <c r="R80" s="65"/>
      <c r="S80" s="65"/>
      <c r="T80" s="65"/>
      <c r="U80" s="65"/>
      <c r="V80" s="65"/>
    </row>
    <row r="81" spans="1:22" x14ac:dyDescent="0.2">
      <c r="A81" s="1">
        <v>428.96145629882813</v>
      </c>
      <c r="B81" s="42">
        <v>0.93658793840902432</v>
      </c>
      <c r="C81" s="21">
        <f t="shared" si="0"/>
        <v>0.90080000000000005</v>
      </c>
      <c r="D81" s="21">
        <f t="shared" si="1"/>
        <v>0.5810863303354401</v>
      </c>
      <c r="E81" s="21">
        <f t="shared" si="2"/>
        <v>0.57157360406091373</v>
      </c>
      <c r="F81" s="21">
        <f t="shared" si="3"/>
        <v>1.7893401015228405E-2</v>
      </c>
      <c r="G81" s="21"/>
      <c r="H81" s="123"/>
      <c r="I81" s="25"/>
      <c r="J81" s="141"/>
      <c r="K81" s="25"/>
      <c r="L81" s="141"/>
      <c r="M81" s="141"/>
      <c r="N81" s="71"/>
      <c r="O81" s="55"/>
      <c r="P81" s="116"/>
      <c r="Q81" s="65"/>
      <c r="R81" s="65"/>
      <c r="S81" s="65"/>
      <c r="T81" s="65"/>
      <c r="U81" s="65"/>
      <c r="V81" s="65"/>
    </row>
    <row r="82" spans="1:22" x14ac:dyDescent="0.2">
      <c r="A82" s="1">
        <v>468.58456420898437</v>
      </c>
      <c r="B82" s="42">
        <v>0.96018793840902428</v>
      </c>
      <c r="C82" s="21">
        <f t="shared" si="0"/>
        <v>0.9244</v>
      </c>
      <c r="D82" s="21">
        <f t="shared" si="1"/>
        <v>0.5957284550452796</v>
      </c>
      <c r="E82" s="21">
        <f t="shared" si="2"/>
        <v>0.58654822335025381</v>
      </c>
      <c r="F82" s="21">
        <f t="shared" si="3"/>
        <v>1.4974619289340074E-2</v>
      </c>
      <c r="G82" s="21"/>
      <c r="H82" s="123"/>
      <c r="I82" s="25"/>
      <c r="J82" s="141"/>
      <c r="K82" s="25"/>
      <c r="L82" s="141"/>
      <c r="M82" s="141"/>
      <c r="N82" s="71"/>
      <c r="O82" s="55"/>
      <c r="P82" s="116"/>
      <c r="Q82" s="65"/>
      <c r="R82" s="65"/>
      <c r="S82" s="65"/>
      <c r="T82" s="65"/>
      <c r="U82" s="65"/>
      <c r="V82" s="65"/>
    </row>
    <row r="83" spans="1:22" x14ac:dyDescent="0.2">
      <c r="A83" s="1">
        <v>512.81219482421875</v>
      </c>
      <c r="B83" s="42">
        <v>0.98578793840902423</v>
      </c>
      <c r="C83" s="21">
        <f t="shared" si="0"/>
        <v>0.95</v>
      </c>
      <c r="D83" s="21">
        <f t="shared" si="1"/>
        <v>0.61161143778137661</v>
      </c>
      <c r="E83" s="21">
        <f t="shared" si="2"/>
        <v>0.60279187817258872</v>
      </c>
      <c r="F83" s="21">
        <f t="shared" si="3"/>
        <v>1.6243654822334919E-2</v>
      </c>
      <c r="G83" s="21"/>
      <c r="H83" s="123"/>
      <c r="I83" s="141"/>
      <c r="J83" s="141"/>
      <c r="K83" s="25"/>
      <c r="L83" s="141"/>
      <c r="M83" s="141"/>
      <c r="N83" s="71"/>
      <c r="O83" s="55"/>
      <c r="P83" s="116"/>
      <c r="Q83" s="65"/>
      <c r="R83" s="65"/>
      <c r="S83" s="65"/>
      <c r="T83" s="65"/>
      <c r="U83" s="65"/>
      <c r="V83" s="65"/>
    </row>
    <row r="84" spans="1:22" x14ac:dyDescent="0.2">
      <c r="A84" s="1">
        <v>561.6986083984375</v>
      </c>
      <c r="B84" s="42">
        <v>1.0110879384090243</v>
      </c>
      <c r="C84" s="21">
        <f t="shared" si="0"/>
        <v>0.97530000000000006</v>
      </c>
      <c r="D84" s="21">
        <f t="shared" si="1"/>
        <v>0.62730829181353509</v>
      </c>
      <c r="E84" s="21">
        <f t="shared" si="2"/>
        <v>0.6188451776649746</v>
      </c>
      <c r="F84" s="21">
        <f t="shared" si="3"/>
        <v>1.6053299492385875E-2</v>
      </c>
      <c r="G84" s="21"/>
      <c r="H84" s="123"/>
      <c r="I84" s="141"/>
      <c r="J84" s="141"/>
      <c r="K84" s="25"/>
      <c r="L84" s="141"/>
      <c r="M84" s="141"/>
      <c r="N84" s="71"/>
      <c r="O84" s="55"/>
      <c r="P84" s="116"/>
      <c r="Q84" s="65"/>
      <c r="R84" s="65"/>
      <c r="S84" s="65"/>
      <c r="T84" s="65"/>
      <c r="U84" s="65"/>
      <c r="V84" s="65"/>
    </row>
    <row r="85" spans="1:22" x14ac:dyDescent="0.2">
      <c r="A85" s="1">
        <v>613.18511962890625</v>
      </c>
      <c r="B85" s="42">
        <v>1.0337879384090243</v>
      </c>
      <c r="C85" s="21">
        <f t="shared" si="0"/>
        <v>0.998</v>
      </c>
      <c r="D85" s="21">
        <f t="shared" si="1"/>
        <v>0.64139203041155857</v>
      </c>
      <c r="E85" s="21">
        <f t="shared" si="2"/>
        <v>0.63324873096446699</v>
      </c>
      <c r="F85" s="21">
        <f t="shared" si="3"/>
        <v>1.4403553299492389E-2</v>
      </c>
      <c r="G85" s="21"/>
      <c r="H85" s="123"/>
      <c r="I85" s="141"/>
      <c r="J85" s="141"/>
      <c r="K85" s="25"/>
      <c r="L85" s="141"/>
      <c r="M85" s="141"/>
      <c r="N85" s="71"/>
      <c r="O85" s="55"/>
      <c r="P85" s="116"/>
      <c r="Q85" s="65"/>
      <c r="R85" s="65"/>
      <c r="S85" s="65"/>
      <c r="T85" s="65"/>
      <c r="U85" s="65"/>
      <c r="V85" s="65"/>
    </row>
    <row r="86" spans="1:22" x14ac:dyDescent="0.2">
      <c r="A86" s="1">
        <v>671.98736572265625</v>
      </c>
      <c r="B86" s="42">
        <v>1.0559879384090243</v>
      </c>
      <c r="C86" s="21">
        <f t="shared" si="0"/>
        <v>1.0202</v>
      </c>
      <c r="D86" s="21">
        <f t="shared" si="1"/>
        <v>0.65516555450301772</v>
      </c>
      <c r="E86" s="21">
        <f t="shared" si="2"/>
        <v>0.64733502538071064</v>
      </c>
      <c r="F86" s="21">
        <f t="shared" si="3"/>
        <v>1.408629441624365E-2</v>
      </c>
      <c r="G86" s="21"/>
      <c r="H86" s="123"/>
      <c r="I86" s="141"/>
      <c r="J86" s="141"/>
      <c r="K86" s="25"/>
      <c r="L86" s="141"/>
      <c r="M86" s="141"/>
      <c r="N86" s="71"/>
      <c r="O86" s="55"/>
      <c r="P86" s="116"/>
      <c r="Q86" s="65"/>
      <c r="R86" s="65"/>
      <c r="S86" s="65"/>
      <c r="T86" s="65"/>
      <c r="U86" s="65"/>
      <c r="V86" s="65"/>
    </row>
    <row r="87" spans="1:22" x14ac:dyDescent="0.2">
      <c r="A87" s="1">
        <v>735.31646728515625</v>
      </c>
      <c r="B87" s="42">
        <v>1.0771879384090244</v>
      </c>
      <c r="C87" s="21">
        <f t="shared" si="0"/>
        <v>1.0414000000000001</v>
      </c>
      <c r="D87" s="21">
        <f t="shared" si="1"/>
        <v>0.66831864958134823</v>
      </c>
      <c r="E87" s="21">
        <f t="shared" si="2"/>
        <v>0.66078680203045692</v>
      </c>
      <c r="F87" s="21">
        <f t="shared" si="3"/>
        <v>1.3451776649746283E-2</v>
      </c>
      <c r="G87" s="21"/>
      <c r="H87" s="123"/>
      <c r="I87" s="141"/>
      <c r="J87" s="141"/>
      <c r="K87" s="25"/>
      <c r="L87" s="141"/>
      <c r="M87" s="141"/>
      <c r="N87" s="71"/>
      <c r="O87" s="55"/>
      <c r="P87" s="116"/>
      <c r="Q87" s="65"/>
      <c r="R87" s="65"/>
      <c r="S87" s="65"/>
      <c r="T87" s="65"/>
      <c r="U87" s="65"/>
      <c r="V87" s="65"/>
    </row>
    <row r="88" spans="1:22" x14ac:dyDescent="0.2">
      <c r="A88" s="1">
        <v>805.49017333984375</v>
      </c>
      <c r="B88" s="42">
        <v>1.0986879384090242</v>
      </c>
      <c r="C88" s="21">
        <f t="shared" si="0"/>
        <v>1.0629</v>
      </c>
      <c r="D88" s="21">
        <f t="shared" si="1"/>
        <v>0.68165787336361716</v>
      </c>
      <c r="E88" s="21">
        <f t="shared" si="2"/>
        <v>0.67442893401015225</v>
      </c>
      <c r="F88" s="21">
        <f t="shared" si="3"/>
        <v>1.3642131979695327E-2</v>
      </c>
      <c r="G88" s="21"/>
      <c r="H88" s="123"/>
      <c r="I88" s="141"/>
      <c r="J88" s="141"/>
      <c r="K88" s="25"/>
      <c r="L88" s="141"/>
      <c r="M88" s="141"/>
      <c r="N88" s="71"/>
      <c r="O88" s="55"/>
      <c r="P88" s="116"/>
      <c r="Q88" s="65"/>
      <c r="R88" s="65"/>
      <c r="S88" s="65"/>
      <c r="T88" s="65"/>
      <c r="U88" s="65"/>
      <c r="V88" s="65"/>
    </row>
    <row r="89" spans="1:22" x14ac:dyDescent="0.2">
      <c r="A89" s="1">
        <v>882.44622802734375</v>
      </c>
      <c r="B89" s="42">
        <v>1.1211879384090242</v>
      </c>
      <c r="C89" s="21">
        <f t="shared" si="0"/>
        <v>1.0853999999999999</v>
      </c>
      <c r="D89" s="21">
        <f t="shared" si="1"/>
        <v>0.69561752615901495</v>
      </c>
      <c r="E89" s="21">
        <f t="shared" si="2"/>
        <v>0.68870558375634505</v>
      </c>
      <c r="F89" s="21">
        <f t="shared" si="3"/>
        <v>1.4276649746192804E-2</v>
      </c>
      <c r="G89" s="21"/>
      <c r="H89" s="123"/>
      <c r="I89" s="141"/>
      <c r="J89" s="141"/>
      <c r="K89" s="25"/>
      <c r="L89" s="141"/>
      <c r="M89" s="141"/>
      <c r="N89" s="71"/>
      <c r="O89" s="55"/>
      <c r="P89" s="116"/>
      <c r="Q89" s="65"/>
      <c r="R89" s="65"/>
      <c r="S89" s="65"/>
      <c r="T89" s="65"/>
      <c r="U89" s="65"/>
      <c r="V89" s="65"/>
    </row>
    <row r="90" spans="1:22" x14ac:dyDescent="0.2">
      <c r="A90" s="1">
        <v>963.67718505859375</v>
      </c>
      <c r="B90" s="42">
        <v>1.1418879384090244</v>
      </c>
      <c r="C90" s="21">
        <f t="shared" si="0"/>
        <v>1.1061000000000001</v>
      </c>
      <c r="D90" s="21">
        <f t="shared" si="1"/>
        <v>0.70846040673078103</v>
      </c>
      <c r="E90" s="21">
        <f t="shared" si="2"/>
        <v>0.70184010152284271</v>
      </c>
      <c r="F90" s="21">
        <f t="shared" si="3"/>
        <v>1.3134517766497655E-2</v>
      </c>
      <c r="G90" s="21"/>
      <c r="H90" s="123"/>
      <c r="I90" s="141"/>
      <c r="J90" s="141"/>
      <c r="K90" s="25"/>
      <c r="L90" s="141"/>
      <c r="M90" s="141"/>
      <c r="N90" s="71"/>
      <c r="O90" s="55"/>
      <c r="P90" s="116"/>
      <c r="Q90" s="65"/>
      <c r="R90" s="65"/>
      <c r="S90" s="65"/>
      <c r="T90" s="65"/>
      <c r="U90" s="65"/>
      <c r="V90" s="65"/>
    </row>
    <row r="91" spans="1:22" x14ac:dyDescent="0.2">
      <c r="A91" s="1">
        <v>1049.6611328125</v>
      </c>
      <c r="B91" s="42">
        <v>1.1609879384090243</v>
      </c>
      <c r="C91" s="21">
        <f t="shared" si="0"/>
        <v>1.1252</v>
      </c>
      <c r="D91" s="21">
        <f t="shared" si="1"/>
        <v>0.72031060088154086</v>
      </c>
      <c r="E91" s="21">
        <f t="shared" si="2"/>
        <v>0.71395939086294413</v>
      </c>
      <c r="F91" s="21">
        <f t="shared" si="3"/>
        <v>1.2119289340101425E-2</v>
      </c>
      <c r="G91" s="21"/>
      <c r="H91" s="123"/>
      <c r="I91" s="141"/>
      <c r="J91" s="141"/>
      <c r="K91" s="25"/>
      <c r="L91" s="141"/>
      <c r="M91" s="141"/>
      <c r="N91" s="71"/>
      <c r="O91" s="55"/>
      <c r="P91" s="116"/>
      <c r="Q91" s="65"/>
      <c r="R91" s="65"/>
      <c r="S91" s="65"/>
      <c r="T91" s="65"/>
      <c r="U91" s="65"/>
      <c r="V91" s="65"/>
    </row>
    <row r="92" spans="1:22" x14ac:dyDescent="0.2">
      <c r="A92" s="1">
        <v>1148.0169677734375</v>
      </c>
      <c r="B92" s="42">
        <v>1.1804879384090243</v>
      </c>
      <c r="C92" s="21">
        <f t="shared" si="0"/>
        <v>1.1447000000000001</v>
      </c>
      <c r="D92" s="21">
        <f t="shared" si="1"/>
        <v>0.73240896663755228</v>
      </c>
      <c r="E92" s="21">
        <f t="shared" si="2"/>
        <v>0.72633248730964473</v>
      </c>
      <c r="F92" s="21">
        <f t="shared" si="3"/>
        <v>1.2373096446700593E-2</v>
      </c>
      <c r="G92" s="21"/>
      <c r="H92" s="123"/>
      <c r="I92" s="141"/>
      <c r="J92" s="141"/>
      <c r="K92" s="141"/>
      <c r="L92" s="141"/>
      <c r="M92" s="141"/>
      <c r="N92" s="71"/>
      <c r="O92" s="55"/>
      <c r="P92" s="116"/>
      <c r="Q92" s="65"/>
      <c r="R92" s="65"/>
      <c r="S92" s="65"/>
      <c r="T92" s="65"/>
      <c r="U92" s="65"/>
      <c r="V92" s="65"/>
    </row>
    <row r="93" spans="1:22" x14ac:dyDescent="0.2">
      <c r="A93" s="1">
        <v>1258.0850830078125</v>
      </c>
      <c r="B93" s="42">
        <v>1.1996879384090242</v>
      </c>
      <c r="C93" s="21">
        <f t="shared" si="0"/>
        <v>1.1638999999999999</v>
      </c>
      <c r="D93" s="21">
        <f t="shared" si="1"/>
        <v>0.74432120368962507</v>
      </c>
      <c r="E93" s="21">
        <f t="shared" si="2"/>
        <v>0.73851522842639583</v>
      </c>
      <c r="F93" s="21">
        <f t="shared" si="3"/>
        <v>1.2182741116751106E-2</v>
      </c>
      <c r="G93" s="21"/>
      <c r="H93" s="123"/>
      <c r="I93" s="141"/>
      <c r="J93" s="141"/>
      <c r="K93" s="141"/>
      <c r="L93" s="141"/>
      <c r="M93" s="141"/>
      <c r="N93" s="71"/>
      <c r="O93" s="55"/>
      <c r="P93" s="116"/>
      <c r="Q93" s="65"/>
      <c r="R93" s="65"/>
      <c r="S93" s="65"/>
      <c r="T93" s="65"/>
      <c r="U93" s="65"/>
      <c r="V93" s="65"/>
    </row>
    <row r="94" spans="1:22" x14ac:dyDescent="0.2">
      <c r="A94" s="1">
        <v>1377.8966064453125</v>
      </c>
      <c r="B94" s="42">
        <v>1.2182879384090244</v>
      </c>
      <c r="C94" s="21">
        <f t="shared" si="0"/>
        <v>1.1825000000000001</v>
      </c>
      <c r="D94" s="21">
        <f t="shared" si="1"/>
        <v>0.75586118333382069</v>
      </c>
      <c r="E94" s="21">
        <f t="shared" si="2"/>
        <v>0.75031725888324874</v>
      </c>
      <c r="F94" s="21">
        <f t="shared" si="3"/>
        <v>1.1802030456852908E-2</v>
      </c>
      <c r="G94" s="21"/>
      <c r="H94" s="123"/>
      <c r="I94" s="141"/>
      <c r="J94" s="141"/>
      <c r="K94" s="141"/>
      <c r="L94" s="141"/>
      <c r="M94" s="141"/>
      <c r="N94" s="71"/>
      <c r="O94" s="55"/>
      <c r="P94" s="116"/>
      <c r="Q94" s="65"/>
      <c r="R94" s="65"/>
      <c r="S94" s="65"/>
      <c r="T94" s="65"/>
      <c r="U94" s="65"/>
      <c r="V94" s="65"/>
    </row>
    <row r="95" spans="1:22" x14ac:dyDescent="0.2">
      <c r="A95" s="1">
        <v>1509.191650390625</v>
      </c>
      <c r="B95" s="42">
        <v>1.2360879384090242</v>
      </c>
      <c r="C95" s="21">
        <f t="shared" si="0"/>
        <v>1.2002999999999999</v>
      </c>
      <c r="D95" s="21">
        <f t="shared" si="1"/>
        <v>0.76690481976751301</v>
      </c>
      <c r="E95" s="21">
        <f t="shared" si="2"/>
        <v>0.76161167512690342</v>
      </c>
      <c r="F95" s="21">
        <f t="shared" si="3"/>
        <v>1.1294416243654681E-2</v>
      </c>
      <c r="G95" s="21"/>
      <c r="H95" s="123"/>
      <c r="I95" s="141"/>
      <c r="J95" s="141"/>
      <c r="K95" s="141"/>
      <c r="L95" s="141"/>
      <c r="M95" s="141"/>
      <c r="N95" s="71"/>
      <c r="O95" s="55"/>
      <c r="P95" s="116"/>
      <c r="Q95" s="65"/>
      <c r="R95" s="65"/>
      <c r="S95" s="65"/>
      <c r="T95" s="65"/>
      <c r="U95" s="65"/>
      <c r="V95" s="65"/>
    </row>
    <row r="96" spans="1:22" x14ac:dyDescent="0.2">
      <c r="A96" s="1">
        <v>1648.0450439453125</v>
      </c>
      <c r="B96" s="42">
        <v>1.2531879384090243</v>
      </c>
      <c r="C96" s="21">
        <f t="shared" si="0"/>
        <v>1.2174</v>
      </c>
      <c r="D96" s="21">
        <f t="shared" si="1"/>
        <v>0.77751415589201545</v>
      </c>
      <c r="E96" s="21">
        <f t="shared" si="2"/>
        <v>0.77246192893401011</v>
      </c>
      <c r="F96" s="21">
        <f t="shared" si="3"/>
        <v>1.0850253807106691E-2</v>
      </c>
      <c r="G96" s="21"/>
      <c r="H96" s="123"/>
      <c r="I96" s="141"/>
      <c r="J96" s="141"/>
      <c r="K96" s="141"/>
      <c r="L96" s="141"/>
      <c r="M96" s="141"/>
      <c r="N96" s="71"/>
      <c r="O96" s="55"/>
      <c r="P96" s="116"/>
      <c r="Q96" s="65"/>
      <c r="R96" s="65"/>
      <c r="S96" s="65"/>
      <c r="T96" s="65"/>
      <c r="U96" s="65"/>
      <c r="V96" s="65"/>
    </row>
    <row r="97" spans="1:22" x14ac:dyDescent="0.2">
      <c r="A97" s="1">
        <v>1810.51611328125</v>
      </c>
      <c r="B97" s="42">
        <v>1.2705879384090242</v>
      </c>
      <c r="C97" s="21">
        <f t="shared" si="0"/>
        <v>1.2347999999999999</v>
      </c>
      <c r="D97" s="21">
        <f t="shared" si="1"/>
        <v>0.78830962072045629</v>
      </c>
      <c r="E97" s="21">
        <f t="shared" si="2"/>
        <v>0.78350253807106585</v>
      </c>
      <c r="F97" s="21">
        <f t="shared" si="3"/>
        <v>1.1040609137055735E-2</v>
      </c>
      <c r="G97" s="21"/>
      <c r="H97" s="123"/>
      <c r="I97" s="141"/>
      <c r="J97" s="141"/>
      <c r="K97" s="141"/>
      <c r="L97" s="141"/>
      <c r="M97" s="141"/>
      <c r="N97" s="71"/>
      <c r="O97" s="55"/>
      <c r="P97" s="116"/>
      <c r="Q97" s="65"/>
      <c r="R97" s="65"/>
      <c r="S97" s="65"/>
      <c r="T97" s="65"/>
      <c r="U97" s="65"/>
      <c r="V97" s="65"/>
    </row>
    <row r="98" spans="1:22" x14ac:dyDescent="0.2">
      <c r="A98" s="1">
        <v>1978.1549072265625</v>
      </c>
      <c r="B98" s="42">
        <v>1.2868879384090244</v>
      </c>
      <c r="C98" s="21">
        <f t="shared" si="0"/>
        <v>1.2511000000000001</v>
      </c>
      <c r="D98" s="21">
        <f t="shared" si="1"/>
        <v>0.79842261363445577</v>
      </c>
      <c r="E98" s="21">
        <f t="shared" si="2"/>
        <v>0.79384517766497464</v>
      </c>
      <c r="F98" s="21">
        <f t="shared" si="3"/>
        <v>1.0342639593908798E-2</v>
      </c>
      <c r="G98" s="21"/>
      <c r="H98" s="123"/>
      <c r="I98" s="141"/>
      <c r="J98" s="141"/>
      <c r="K98" s="141"/>
      <c r="L98" s="141"/>
      <c r="M98" s="141"/>
      <c r="N98" s="71"/>
      <c r="O98" s="55"/>
      <c r="P98" s="116"/>
      <c r="Q98" s="65"/>
      <c r="R98" s="65"/>
      <c r="S98" s="65"/>
      <c r="T98" s="65"/>
      <c r="U98" s="65"/>
      <c r="V98" s="65"/>
    </row>
    <row r="99" spans="1:22" x14ac:dyDescent="0.2">
      <c r="A99" s="1">
        <v>2158.113525390625</v>
      </c>
      <c r="B99" s="42">
        <v>1.3023879384090242</v>
      </c>
      <c r="C99" s="21">
        <f t="shared" si="0"/>
        <v>1.2665999999999999</v>
      </c>
      <c r="D99" s="21">
        <f t="shared" si="1"/>
        <v>0.80803926333795195</v>
      </c>
      <c r="E99" s="21">
        <f t="shared" si="2"/>
        <v>0.80368020304568522</v>
      </c>
      <c r="F99" s="21">
        <f t="shared" si="3"/>
        <v>9.8350253807105714E-3</v>
      </c>
      <c r="G99" s="21"/>
      <c r="H99" s="123"/>
      <c r="I99" s="141"/>
      <c r="J99" s="141"/>
      <c r="K99" s="141"/>
      <c r="L99" s="141"/>
      <c r="M99" s="141"/>
      <c r="N99" s="71"/>
      <c r="O99" s="55"/>
      <c r="P99" s="116"/>
      <c r="Q99" s="65"/>
      <c r="R99" s="65"/>
      <c r="S99" s="65"/>
      <c r="T99" s="65"/>
      <c r="U99" s="65"/>
      <c r="V99" s="65"/>
    </row>
    <row r="100" spans="1:22" x14ac:dyDescent="0.2">
      <c r="A100" s="1">
        <v>2367.482177734375</v>
      </c>
      <c r="B100" s="42">
        <v>1.3183879384090242</v>
      </c>
      <c r="C100" s="21">
        <f t="shared" si="0"/>
        <v>1.2826</v>
      </c>
      <c r="D100" s="21">
        <f t="shared" si="1"/>
        <v>0.81796612754801257</v>
      </c>
      <c r="E100" s="21">
        <f t="shared" si="2"/>
        <v>0.81383248730964464</v>
      </c>
      <c r="F100" s="21">
        <f t="shared" si="3"/>
        <v>1.0152284263959421E-2</v>
      </c>
      <c r="G100" s="21"/>
      <c r="H100" s="123"/>
      <c r="I100" s="141"/>
      <c r="J100" s="141"/>
      <c r="K100" s="141"/>
      <c r="L100" s="141"/>
      <c r="M100" s="141"/>
      <c r="N100" s="71"/>
      <c r="O100" s="55"/>
      <c r="P100" s="116"/>
      <c r="Q100" s="65"/>
      <c r="R100" s="65"/>
      <c r="S100" s="65"/>
      <c r="T100" s="65"/>
      <c r="U100" s="65"/>
      <c r="V100" s="65"/>
    </row>
    <row r="101" spans="1:22" x14ac:dyDescent="0.2">
      <c r="A101" s="1">
        <v>2587.98974609375</v>
      </c>
      <c r="B101" s="42">
        <v>1.3337879384090243</v>
      </c>
      <c r="C101" s="21">
        <f t="shared" si="0"/>
        <v>1.298</v>
      </c>
      <c r="D101" s="21">
        <f t="shared" si="1"/>
        <v>0.82752073435019602</v>
      </c>
      <c r="E101" s="21">
        <f t="shared" si="2"/>
        <v>0.82360406091370553</v>
      </c>
      <c r="F101" s="21">
        <f t="shared" si="3"/>
        <v>9.7715736040608903E-3</v>
      </c>
      <c r="G101" s="21"/>
      <c r="H101" s="123"/>
      <c r="I101" s="141"/>
      <c r="J101" s="141"/>
      <c r="K101" s="141"/>
      <c r="L101" s="141"/>
      <c r="M101" s="141"/>
      <c r="N101" s="71"/>
      <c r="O101" s="55"/>
      <c r="P101" s="116"/>
      <c r="Q101" s="65"/>
      <c r="R101" s="65"/>
      <c r="S101" s="65"/>
      <c r="T101" s="65"/>
      <c r="U101" s="65"/>
      <c r="V101" s="65"/>
    </row>
    <row r="102" spans="1:22" x14ac:dyDescent="0.2">
      <c r="A102" s="1">
        <v>2828.620361328125</v>
      </c>
      <c r="B102" s="42">
        <v>1.3481879384090243</v>
      </c>
      <c r="C102" s="21">
        <f t="shared" si="0"/>
        <v>1.3124</v>
      </c>
      <c r="D102" s="21">
        <f t="shared" si="1"/>
        <v>0.83645491213925061</v>
      </c>
      <c r="E102" s="21">
        <f t="shared" si="2"/>
        <v>0.83274111675126905</v>
      </c>
      <c r="F102" s="21">
        <f t="shared" si="3"/>
        <v>9.1370558375635236E-3</v>
      </c>
      <c r="G102" s="21"/>
      <c r="H102" s="123"/>
      <c r="I102" s="141"/>
      <c r="J102" s="141"/>
      <c r="K102" s="141"/>
      <c r="L102" s="141"/>
      <c r="M102" s="141"/>
      <c r="N102" s="71"/>
      <c r="O102" s="55"/>
      <c r="P102" s="116"/>
      <c r="Q102" s="65"/>
      <c r="R102" s="65"/>
      <c r="S102" s="65"/>
      <c r="T102" s="65"/>
      <c r="U102" s="65"/>
      <c r="V102" s="65"/>
    </row>
    <row r="103" spans="1:22" x14ac:dyDescent="0.2">
      <c r="A103" s="1">
        <v>3097.880859375</v>
      </c>
      <c r="B103" s="42">
        <v>1.3632879384090242</v>
      </c>
      <c r="C103" s="21">
        <f t="shared" si="0"/>
        <v>1.3274999999999999</v>
      </c>
      <c r="D103" s="21">
        <f t="shared" si="1"/>
        <v>0.84582339023749531</v>
      </c>
      <c r="E103" s="21">
        <f t="shared" si="2"/>
        <v>0.84232233502538056</v>
      </c>
      <c r="F103" s="21">
        <f t="shared" si="3"/>
        <v>9.5812182741115137E-3</v>
      </c>
      <c r="G103" s="21"/>
      <c r="H103" s="123"/>
      <c r="I103" s="141"/>
      <c r="J103" s="141"/>
      <c r="K103" s="141"/>
      <c r="L103" s="141"/>
      <c r="M103" s="141"/>
      <c r="N103" s="71"/>
      <c r="O103" s="55"/>
      <c r="P103" s="116"/>
      <c r="Q103" s="65"/>
      <c r="R103" s="65"/>
      <c r="S103" s="65"/>
      <c r="T103" s="65"/>
      <c r="U103" s="65"/>
      <c r="V103" s="65"/>
    </row>
    <row r="104" spans="1:22" x14ac:dyDescent="0.2">
      <c r="A104" s="1">
        <v>3388.56689453125</v>
      </c>
      <c r="B104" s="42">
        <v>1.3775879384090244</v>
      </c>
      <c r="C104" s="21">
        <f t="shared" si="0"/>
        <v>1.3418000000000001</v>
      </c>
      <c r="D104" s="21">
        <f t="shared" si="1"/>
        <v>0.85469552512523705</v>
      </c>
      <c r="E104" s="21">
        <f t="shared" si="2"/>
        <v>0.85139593908629441</v>
      </c>
      <c r="F104" s="21">
        <f t="shared" si="3"/>
        <v>9.0736040609138424E-3</v>
      </c>
      <c r="G104" s="21"/>
      <c r="H104" s="123"/>
      <c r="I104" s="141"/>
      <c r="J104" s="141"/>
      <c r="K104" s="141"/>
      <c r="L104" s="141"/>
      <c r="M104" s="141"/>
      <c r="N104" s="71"/>
      <c r="O104" s="55"/>
      <c r="P104" s="116"/>
      <c r="Q104" s="65"/>
      <c r="R104" s="65"/>
      <c r="S104" s="65"/>
      <c r="T104" s="65"/>
      <c r="U104" s="65"/>
      <c r="V104" s="65"/>
    </row>
    <row r="105" spans="1:22" x14ac:dyDescent="0.2">
      <c r="A105" s="1">
        <v>3707.705810546875</v>
      </c>
      <c r="B105" s="42">
        <v>1.3917879384090244</v>
      </c>
      <c r="C105" s="21">
        <f t="shared" si="0"/>
        <v>1.3560000000000001</v>
      </c>
      <c r="D105" s="21">
        <f t="shared" si="1"/>
        <v>0.86350561711166596</v>
      </c>
      <c r="E105" s="21">
        <f t="shared" si="2"/>
        <v>0.86040609137055835</v>
      </c>
      <c r="F105" s="21">
        <f t="shared" si="3"/>
        <v>9.0101522842639392E-3</v>
      </c>
      <c r="G105" s="21"/>
      <c r="H105" s="123"/>
      <c r="I105" s="141"/>
      <c r="J105" s="141"/>
      <c r="K105" s="141"/>
      <c r="L105" s="141"/>
      <c r="M105" s="141"/>
      <c r="N105" s="71"/>
      <c r="O105" s="55"/>
      <c r="P105" s="116"/>
      <c r="Q105" s="65"/>
      <c r="R105" s="65"/>
      <c r="S105" s="65"/>
      <c r="T105" s="65"/>
      <c r="U105" s="65"/>
      <c r="V105" s="65"/>
    </row>
    <row r="106" spans="1:22" x14ac:dyDescent="0.2">
      <c r="A106" s="1">
        <v>4058.08740234375</v>
      </c>
      <c r="B106" s="42">
        <v>1.4057879384090244</v>
      </c>
      <c r="C106" s="21">
        <f t="shared" si="0"/>
        <v>1.37</v>
      </c>
      <c r="D106" s="21">
        <f t="shared" si="1"/>
        <v>0.87219162329546907</v>
      </c>
      <c r="E106" s="21">
        <f t="shared" si="2"/>
        <v>0.86928934010152292</v>
      </c>
      <c r="F106" s="21">
        <f t="shared" si="3"/>
        <v>8.8832487309645769E-3</v>
      </c>
      <c r="G106" s="21"/>
      <c r="H106" s="123"/>
      <c r="I106" s="141"/>
      <c r="J106" s="141"/>
      <c r="K106" s="141"/>
      <c r="L106" s="141"/>
      <c r="M106" s="141"/>
      <c r="N106" s="71"/>
      <c r="O106" s="55"/>
      <c r="P106" s="116"/>
      <c r="Q106" s="65"/>
      <c r="R106" s="65"/>
      <c r="S106" s="65"/>
      <c r="T106" s="65"/>
      <c r="U106" s="65"/>
      <c r="V106" s="65"/>
    </row>
    <row r="107" spans="1:22" x14ac:dyDescent="0.2">
      <c r="A107" s="1">
        <v>4436.46484375</v>
      </c>
      <c r="B107" s="42">
        <v>1.4198879384090244</v>
      </c>
      <c r="C107" s="21">
        <f t="shared" si="0"/>
        <v>1.3841000000000001</v>
      </c>
      <c r="D107" s="21">
        <f t="shared" si="1"/>
        <v>0.88093967238058501</v>
      </c>
      <c r="E107" s="21">
        <f t="shared" si="2"/>
        <v>0.87823604060913707</v>
      </c>
      <c r="F107" s="21">
        <f t="shared" si="3"/>
        <v>8.946700507614147E-3</v>
      </c>
      <c r="G107" s="21"/>
      <c r="H107" s="123"/>
      <c r="I107" s="141"/>
      <c r="J107" s="141"/>
      <c r="K107" s="141"/>
      <c r="L107" s="141"/>
      <c r="M107" s="141"/>
      <c r="N107" s="71"/>
      <c r="O107" s="55"/>
      <c r="P107" s="116"/>
      <c r="Q107" s="65"/>
      <c r="R107" s="65"/>
      <c r="S107" s="65"/>
      <c r="T107" s="65"/>
      <c r="U107" s="65"/>
      <c r="V107" s="65"/>
    </row>
    <row r="108" spans="1:22" x14ac:dyDescent="0.2">
      <c r="A108" s="1">
        <v>4846.52734375</v>
      </c>
      <c r="B108" s="42">
        <v>1.4332879384090242</v>
      </c>
      <c r="C108" s="21">
        <f t="shared" si="0"/>
        <v>1.3975</v>
      </c>
      <c r="D108" s="21">
        <f t="shared" si="1"/>
        <v>0.88925342115651074</v>
      </c>
      <c r="E108" s="21">
        <f t="shared" si="2"/>
        <v>0.886738578680203</v>
      </c>
      <c r="F108" s="21">
        <f t="shared" si="3"/>
        <v>8.5025380710659348E-3</v>
      </c>
      <c r="G108" s="21"/>
      <c r="H108" s="123"/>
      <c r="I108" s="141"/>
      <c r="J108" s="141"/>
      <c r="K108" s="141"/>
      <c r="L108" s="141"/>
      <c r="M108" s="141"/>
      <c r="N108" s="71"/>
      <c r="O108" s="55"/>
      <c r="P108" s="116"/>
      <c r="Q108" s="65"/>
      <c r="R108" s="65"/>
      <c r="S108" s="65"/>
      <c r="T108" s="65"/>
      <c r="U108" s="65"/>
      <c r="V108" s="65"/>
    </row>
    <row r="109" spans="1:22" x14ac:dyDescent="0.2">
      <c r="A109" s="1">
        <v>5306.3515625</v>
      </c>
      <c r="B109" s="42">
        <v>1.4464879384090243</v>
      </c>
      <c r="C109" s="21">
        <f t="shared" si="0"/>
        <v>1.4107000000000001</v>
      </c>
      <c r="D109" s="21">
        <f t="shared" si="1"/>
        <v>0.89744308412981078</v>
      </c>
      <c r="E109" s="21">
        <f t="shared" si="2"/>
        <v>0.89511421319796958</v>
      </c>
      <c r="F109" s="21">
        <f t="shared" si="3"/>
        <v>8.3756345177665725E-3</v>
      </c>
      <c r="G109" s="21"/>
      <c r="H109" s="123"/>
      <c r="I109" s="141"/>
      <c r="J109" s="141"/>
      <c r="K109" s="141"/>
      <c r="L109" s="141"/>
      <c r="M109" s="141"/>
      <c r="N109" s="71"/>
      <c r="O109" s="55"/>
      <c r="P109" s="116"/>
      <c r="Q109" s="65"/>
      <c r="R109" s="65"/>
      <c r="S109" s="65"/>
      <c r="T109" s="65"/>
      <c r="U109" s="65"/>
      <c r="V109" s="65"/>
    </row>
    <row r="110" spans="1:22" x14ac:dyDescent="0.2">
      <c r="A110" s="1">
        <v>5806.3779296875</v>
      </c>
      <c r="B110" s="42">
        <v>1.4591879384090243</v>
      </c>
      <c r="C110" s="21">
        <f t="shared" si="0"/>
        <v>1.4234</v>
      </c>
      <c r="D110" s="21">
        <f t="shared" si="1"/>
        <v>0.90532253259654638</v>
      </c>
      <c r="E110" s="21">
        <f t="shared" si="2"/>
        <v>0.9031725888324873</v>
      </c>
      <c r="F110" s="21">
        <f t="shared" si="3"/>
        <v>8.0583756345177227E-3</v>
      </c>
      <c r="G110" s="21"/>
      <c r="H110" s="123"/>
      <c r="I110" s="141"/>
      <c r="J110" s="141"/>
      <c r="K110" s="141"/>
      <c r="L110" s="141"/>
      <c r="M110" s="141"/>
      <c r="N110" s="71"/>
      <c r="O110" s="55"/>
      <c r="P110" s="116"/>
      <c r="Q110" s="65"/>
      <c r="R110" s="65"/>
      <c r="S110" s="65"/>
      <c r="T110" s="65"/>
      <c r="U110" s="65"/>
      <c r="V110" s="65"/>
    </row>
    <row r="111" spans="1:22" x14ac:dyDescent="0.2">
      <c r="A111" s="1">
        <v>6356.22265625</v>
      </c>
      <c r="B111" s="42">
        <v>1.4720879384090242</v>
      </c>
      <c r="C111" s="21">
        <f t="shared" si="0"/>
        <v>1.4362999999999999</v>
      </c>
      <c r="D111" s="21">
        <f t="shared" si="1"/>
        <v>0.91332606686590778</v>
      </c>
      <c r="E111" s="21">
        <f t="shared" si="2"/>
        <v>0.9113578680203045</v>
      </c>
      <c r="F111" s="21">
        <f t="shared" si="3"/>
        <v>8.185279187817196E-3</v>
      </c>
      <c r="G111" s="21"/>
      <c r="H111" s="123"/>
      <c r="I111" s="141"/>
      <c r="J111" s="141"/>
      <c r="K111" s="141"/>
      <c r="L111" s="141"/>
      <c r="M111" s="141"/>
      <c r="N111" s="71"/>
      <c r="O111" s="55"/>
      <c r="P111" s="116"/>
      <c r="Q111" s="65"/>
      <c r="R111" s="65"/>
      <c r="S111" s="65"/>
      <c r="T111" s="65"/>
      <c r="U111" s="65"/>
      <c r="V111" s="65"/>
    </row>
    <row r="112" spans="1:22" x14ac:dyDescent="0.2">
      <c r="A112" s="1">
        <v>6946.83740234375</v>
      </c>
      <c r="B112" s="42">
        <v>1.4840879384090242</v>
      </c>
      <c r="C112" s="21">
        <f t="shared" si="0"/>
        <v>1.4482999999999999</v>
      </c>
      <c r="D112" s="21">
        <f t="shared" si="1"/>
        <v>0.92077121502345327</v>
      </c>
      <c r="E112" s="21">
        <f t="shared" si="2"/>
        <v>0.91897208121827401</v>
      </c>
      <c r="F112" s="21">
        <f t="shared" si="3"/>
        <v>7.6142131979695105E-3</v>
      </c>
      <c r="G112" s="21"/>
      <c r="H112" s="123"/>
      <c r="I112" s="141"/>
      <c r="J112" s="141"/>
      <c r="K112" s="141"/>
      <c r="L112" s="141"/>
      <c r="M112" s="141"/>
      <c r="N112" s="71"/>
      <c r="O112" s="55"/>
      <c r="P112" s="116"/>
      <c r="Q112" s="65"/>
      <c r="R112" s="65"/>
      <c r="S112" s="65"/>
      <c r="T112" s="65"/>
      <c r="U112" s="65"/>
      <c r="V112" s="65"/>
    </row>
    <row r="113" spans="1:22" x14ac:dyDescent="0.2">
      <c r="A113" s="1">
        <v>7605.79052734375</v>
      </c>
      <c r="B113" s="42">
        <v>1.4948879384090243</v>
      </c>
      <c r="C113" s="21">
        <f t="shared" si="0"/>
        <v>1.4591000000000001</v>
      </c>
      <c r="D113" s="21">
        <f t="shared" si="1"/>
        <v>0.92747184836524432</v>
      </c>
      <c r="E113" s="21">
        <f t="shared" si="2"/>
        <v>0.92582487309644668</v>
      </c>
      <c r="F113" s="21">
        <f t="shared" si="3"/>
        <v>6.8527918781726704E-3</v>
      </c>
      <c r="G113" s="21"/>
      <c r="H113" s="123"/>
      <c r="I113" s="141"/>
      <c r="J113" s="141"/>
      <c r="K113" s="141"/>
      <c r="L113" s="141"/>
      <c r="M113" s="141"/>
      <c r="N113" s="71"/>
      <c r="O113" s="55"/>
      <c r="P113" s="116"/>
      <c r="Q113" s="65"/>
      <c r="R113" s="65"/>
      <c r="S113" s="65"/>
      <c r="T113" s="65"/>
      <c r="U113" s="65"/>
      <c r="V113" s="65"/>
    </row>
    <row r="114" spans="1:22" x14ac:dyDescent="0.2">
      <c r="A114" s="1">
        <v>8316.5625</v>
      </c>
      <c r="B114" s="42">
        <v>1.5062879384090242</v>
      </c>
      <c r="C114" s="21">
        <f t="shared" si="0"/>
        <v>1.4704999999999999</v>
      </c>
      <c r="D114" s="21">
        <f t="shared" si="1"/>
        <v>0.93454473911491243</v>
      </c>
      <c r="E114" s="21">
        <f t="shared" si="2"/>
        <v>0.93305837563451766</v>
      </c>
      <c r="F114" s="21">
        <f t="shared" si="3"/>
        <v>7.2335025380709794E-3</v>
      </c>
      <c r="G114" s="21"/>
      <c r="H114" s="123"/>
      <c r="I114" s="141"/>
      <c r="J114" s="141"/>
      <c r="K114" s="141"/>
      <c r="L114" s="141"/>
      <c r="M114" s="141"/>
      <c r="N114" s="71"/>
      <c r="O114" s="55"/>
      <c r="P114" s="116"/>
      <c r="Q114" s="65"/>
      <c r="R114" s="65"/>
      <c r="S114" s="65"/>
      <c r="T114" s="65"/>
      <c r="U114" s="65"/>
      <c r="V114" s="65"/>
    </row>
    <row r="115" spans="1:22" x14ac:dyDescent="0.2">
      <c r="A115" s="1">
        <v>9095.9248046875</v>
      </c>
      <c r="B115" s="42">
        <v>1.5165879384090242</v>
      </c>
      <c r="C115" s="21">
        <f t="shared" si="0"/>
        <v>1.4807999999999999</v>
      </c>
      <c r="D115" s="21">
        <f t="shared" si="1"/>
        <v>0.94093515795013893</v>
      </c>
      <c r="E115" s="21">
        <f t="shared" si="2"/>
        <v>0.93959390862944148</v>
      </c>
      <c r="F115" s="21">
        <f t="shared" si="3"/>
        <v>6.5355329949238206E-3</v>
      </c>
      <c r="G115" s="21"/>
      <c r="H115" s="123"/>
      <c r="I115" s="141"/>
      <c r="J115" s="141"/>
      <c r="K115" s="141"/>
      <c r="L115" s="141"/>
      <c r="M115" s="141"/>
      <c r="N115" s="71"/>
      <c r="O115" s="55"/>
      <c r="P115" s="116"/>
      <c r="Q115" s="65"/>
      <c r="R115" s="65"/>
      <c r="S115" s="65"/>
      <c r="T115" s="65"/>
      <c r="U115" s="65"/>
      <c r="V115" s="65"/>
    </row>
    <row r="116" spans="1:22" x14ac:dyDescent="0.2">
      <c r="A116" s="1">
        <v>9956.8349609375</v>
      </c>
      <c r="B116" s="42">
        <v>1.5262879384090242</v>
      </c>
      <c r="C116" s="21">
        <f t="shared" si="0"/>
        <v>1.4904999999999999</v>
      </c>
      <c r="D116" s="21">
        <f t="shared" si="1"/>
        <v>0.94695331937748828</v>
      </c>
      <c r="E116" s="21">
        <f t="shared" si="2"/>
        <v>0.94574873096446688</v>
      </c>
      <c r="F116" s="21">
        <f t="shared" si="3"/>
        <v>6.1548223350254005E-3</v>
      </c>
      <c r="G116" s="21"/>
      <c r="H116" s="123"/>
      <c r="I116" s="141"/>
      <c r="J116" s="141"/>
      <c r="K116" s="141"/>
      <c r="L116" s="141"/>
      <c r="M116" s="141"/>
      <c r="N116" s="71"/>
      <c r="O116" s="55"/>
      <c r="P116" s="116"/>
      <c r="Q116" s="65"/>
      <c r="R116" s="65"/>
      <c r="S116" s="65"/>
      <c r="T116" s="65"/>
      <c r="U116" s="65"/>
      <c r="V116" s="65"/>
    </row>
    <row r="117" spans="1:22" x14ac:dyDescent="0.2">
      <c r="A117" s="1">
        <v>10895.72265625</v>
      </c>
      <c r="B117" s="42">
        <v>1.5353879384090243</v>
      </c>
      <c r="C117" s="21">
        <f t="shared" si="0"/>
        <v>1.4996</v>
      </c>
      <c r="D117" s="21">
        <f t="shared" si="1"/>
        <v>0.95259922339696035</v>
      </c>
      <c r="E117" s="21">
        <f t="shared" si="2"/>
        <v>0.95152284263959386</v>
      </c>
      <c r="F117" s="21">
        <f t="shared" si="3"/>
        <v>5.7741116751269805E-3</v>
      </c>
      <c r="G117" s="21"/>
      <c r="H117" s="123"/>
      <c r="I117" s="141"/>
      <c r="J117" s="141"/>
      <c r="K117" s="141"/>
      <c r="L117" s="141"/>
      <c r="M117" s="141"/>
      <c r="N117" s="71"/>
      <c r="O117" s="55"/>
      <c r="P117" s="116"/>
      <c r="Q117" s="65"/>
      <c r="R117" s="65"/>
      <c r="S117" s="65"/>
      <c r="T117" s="65"/>
      <c r="U117" s="65"/>
      <c r="V117" s="65"/>
    </row>
    <row r="118" spans="1:22" x14ac:dyDescent="0.2">
      <c r="A118" s="1">
        <v>11896.193359375</v>
      </c>
      <c r="B118" s="42">
        <v>1.5438879384090243</v>
      </c>
      <c r="C118" s="21">
        <f t="shared" si="0"/>
        <v>1.5081</v>
      </c>
      <c r="D118" s="21">
        <f t="shared" si="1"/>
        <v>0.95787287000855503</v>
      </c>
      <c r="E118" s="21">
        <f t="shared" si="2"/>
        <v>0.95691624365482231</v>
      </c>
      <c r="F118" s="21">
        <f t="shared" si="3"/>
        <v>5.3934010152284495E-3</v>
      </c>
      <c r="G118" s="21"/>
      <c r="H118" s="123"/>
      <c r="I118" s="141"/>
      <c r="J118" s="141"/>
      <c r="K118" s="141"/>
      <c r="L118" s="141"/>
      <c r="M118" s="141"/>
      <c r="N118" s="71"/>
      <c r="O118" s="55"/>
      <c r="P118" s="116"/>
      <c r="Q118" s="65"/>
      <c r="R118" s="65"/>
      <c r="S118" s="65"/>
      <c r="T118" s="65"/>
      <c r="U118" s="65"/>
      <c r="V118" s="65"/>
    </row>
    <row r="119" spans="1:22" x14ac:dyDescent="0.2">
      <c r="A119" s="1">
        <v>12996.3203125</v>
      </c>
      <c r="B119" s="42">
        <v>1.5522879384090242</v>
      </c>
      <c r="C119" s="21">
        <f t="shared" si="0"/>
        <v>1.5165</v>
      </c>
      <c r="D119" s="21">
        <f t="shared" si="1"/>
        <v>0.96308447371883688</v>
      </c>
      <c r="E119" s="21">
        <f t="shared" si="2"/>
        <v>0.96224619289340096</v>
      </c>
      <c r="F119" s="21">
        <f t="shared" si="3"/>
        <v>5.3299492385786573E-3</v>
      </c>
      <c r="G119" s="21"/>
      <c r="H119" s="123"/>
      <c r="I119" s="141"/>
      <c r="J119" s="141"/>
      <c r="K119" s="141"/>
      <c r="L119" s="141"/>
      <c r="M119" s="141"/>
      <c r="N119" s="71"/>
      <c r="O119" s="55"/>
      <c r="P119" s="116"/>
      <c r="Q119" s="65"/>
      <c r="R119" s="65"/>
      <c r="S119" s="65"/>
      <c r="T119" s="65"/>
      <c r="U119" s="65"/>
      <c r="V119" s="65"/>
    </row>
    <row r="120" spans="1:22" x14ac:dyDescent="0.2">
      <c r="A120" s="1">
        <v>14295.740234375</v>
      </c>
      <c r="B120" s="42">
        <v>1.5605879384090242</v>
      </c>
      <c r="C120" s="21">
        <f t="shared" si="0"/>
        <v>1.5247999999999999</v>
      </c>
      <c r="D120" s="21">
        <f t="shared" si="1"/>
        <v>0.96823403452780576</v>
      </c>
      <c r="E120" s="21">
        <f t="shared" si="2"/>
        <v>0.96751269035532983</v>
      </c>
      <c r="F120" s="21">
        <f t="shared" si="3"/>
        <v>5.2664974619288651E-3</v>
      </c>
      <c r="G120" s="21"/>
      <c r="H120" s="123"/>
      <c r="I120" s="141"/>
      <c r="J120" s="141"/>
      <c r="K120" s="141"/>
      <c r="L120" s="141"/>
      <c r="M120" s="141"/>
      <c r="N120" s="71"/>
      <c r="O120" s="55"/>
      <c r="P120" s="116"/>
      <c r="Q120" s="65"/>
      <c r="R120" s="65"/>
      <c r="S120" s="65"/>
      <c r="T120" s="65"/>
      <c r="U120" s="65"/>
      <c r="V120" s="65"/>
    </row>
    <row r="121" spans="1:22" x14ac:dyDescent="0.2">
      <c r="A121" s="1">
        <v>15595.3330078125</v>
      </c>
      <c r="B121" s="42">
        <v>1.5676879384090243</v>
      </c>
      <c r="C121" s="21">
        <f t="shared" si="0"/>
        <v>1.5319</v>
      </c>
      <c r="D121" s="21">
        <f t="shared" si="1"/>
        <v>0.97263908052102033</v>
      </c>
      <c r="E121" s="21">
        <f t="shared" si="2"/>
        <v>0.97201776649746197</v>
      </c>
      <c r="F121" s="21">
        <f t="shared" si="3"/>
        <v>4.5050761421321361E-3</v>
      </c>
      <c r="G121" s="21"/>
      <c r="H121" s="123"/>
      <c r="I121" s="141"/>
      <c r="J121" s="141"/>
      <c r="K121" s="141"/>
      <c r="L121" s="141"/>
      <c r="M121" s="141"/>
      <c r="N121" s="71"/>
      <c r="O121" s="55"/>
      <c r="P121" s="116"/>
      <c r="Q121" s="65"/>
      <c r="R121" s="65"/>
      <c r="S121" s="65"/>
      <c r="T121" s="65"/>
      <c r="U121" s="65"/>
      <c r="V121" s="65"/>
    </row>
    <row r="122" spans="1:22" x14ac:dyDescent="0.2">
      <c r="A122" s="1">
        <v>17095.1953125</v>
      </c>
      <c r="B122" s="42">
        <v>1.5739879384090243</v>
      </c>
      <c r="C122" s="21">
        <f t="shared" si="0"/>
        <v>1.5382</v>
      </c>
      <c r="D122" s="21">
        <f t="shared" si="1"/>
        <v>0.97654778330373171</v>
      </c>
      <c r="E122" s="21">
        <f t="shared" si="2"/>
        <v>0.97601522842639588</v>
      </c>
      <c r="F122" s="21">
        <f t="shared" si="3"/>
        <v>3.9974619289339097E-3</v>
      </c>
      <c r="G122" s="21"/>
      <c r="H122" s="123"/>
      <c r="I122" s="141"/>
      <c r="J122" s="141"/>
      <c r="K122" s="141"/>
      <c r="L122" s="141"/>
      <c r="M122" s="141"/>
      <c r="N122" s="71"/>
      <c r="O122" s="55"/>
      <c r="P122" s="116"/>
      <c r="Q122" s="65"/>
      <c r="R122" s="65"/>
      <c r="S122" s="65"/>
      <c r="T122" s="65"/>
      <c r="U122" s="65"/>
      <c r="V122" s="65"/>
    </row>
    <row r="123" spans="1:22" x14ac:dyDescent="0.2">
      <c r="A123" s="1">
        <v>18694.45703125</v>
      </c>
      <c r="B123" s="42">
        <v>1.5796879384090243</v>
      </c>
      <c r="C123" s="21">
        <f t="shared" si="0"/>
        <v>1.5439000000000001</v>
      </c>
      <c r="D123" s="21">
        <f t="shared" si="1"/>
        <v>0.98008422867856582</v>
      </c>
      <c r="E123" s="21">
        <f t="shared" si="2"/>
        <v>0.97963197969543148</v>
      </c>
      <c r="F123" s="21">
        <f t="shared" si="3"/>
        <v>3.6167512690356007E-3</v>
      </c>
      <c r="G123" s="21"/>
      <c r="H123" s="123"/>
      <c r="I123" s="141"/>
      <c r="J123" s="141"/>
      <c r="K123" s="141"/>
      <c r="L123" s="141"/>
      <c r="M123" s="141"/>
      <c r="N123" s="71"/>
      <c r="O123" s="55"/>
      <c r="P123" s="116"/>
      <c r="Q123" s="65"/>
      <c r="R123" s="65"/>
      <c r="S123" s="65"/>
      <c r="T123" s="65"/>
      <c r="U123" s="65"/>
      <c r="V123" s="65"/>
    </row>
    <row r="124" spans="1:22" x14ac:dyDescent="0.2">
      <c r="A124" s="1">
        <v>20392.5</v>
      </c>
      <c r="B124" s="42">
        <v>1.5846879384090242</v>
      </c>
      <c r="C124" s="21">
        <f t="shared" si="0"/>
        <v>1.5488999999999999</v>
      </c>
      <c r="D124" s="21">
        <f t="shared" si="1"/>
        <v>0.9831863737442097</v>
      </c>
      <c r="E124" s="21">
        <f t="shared" si="2"/>
        <v>0.98280456852791875</v>
      </c>
      <c r="F124" s="21">
        <f t="shared" si="3"/>
        <v>3.1725888324872775E-3</v>
      </c>
      <c r="G124" s="21"/>
      <c r="H124" s="123"/>
      <c r="I124" s="141"/>
      <c r="J124" s="141"/>
      <c r="K124" s="141"/>
      <c r="L124" s="141"/>
      <c r="M124" s="141"/>
      <c r="N124" s="71"/>
      <c r="O124" s="55"/>
      <c r="P124" s="116"/>
      <c r="Q124" s="65"/>
      <c r="R124" s="65"/>
      <c r="S124" s="65"/>
      <c r="T124" s="65"/>
      <c r="U124" s="65"/>
      <c r="V124" s="65"/>
    </row>
    <row r="125" spans="1:22" x14ac:dyDescent="0.2">
      <c r="A125" s="1">
        <v>22294.265625</v>
      </c>
      <c r="B125" s="42">
        <v>1.5893879384090244</v>
      </c>
      <c r="C125" s="21">
        <f t="shared" si="0"/>
        <v>1.5536000000000001</v>
      </c>
      <c r="D125" s="21">
        <f t="shared" si="1"/>
        <v>0.98610239010591505</v>
      </c>
      <c r="E125" s="21">
        <f t="shared" si="2"/>
        <v>0.98578680203045688</v>
      </c>
      <c r="F125" s="21">
        <f t="shared" si="3"/>
        <v>2.982233502538123E-3</v>
      </c>
      <c r="G125" s="21"/>
      <c r="H125" s="123"/>
      <c r="I125" s="141"/>
      <c r="J125" s="141"/>
      <c r="K125" s="141"/>
      <c r="L125" s="141"/>
      <c r="M125" s="141"/>
      <c r="N125" s="71"/>
      <c r="O125" s="55"/>
      <c r="P125" s="116"/>
      <c r="Q125" s="65"/>
      <c r="R125" s="65"/>
      <c r="S125" s="65"/>
      <c r="T125" s="65"/>
      <c r="U125" s="65"/>
      <c r="V125" s="65"/>
    </row>
    <row r="126" spans="1:22" x14ac:dyDescent="0.2">
      <c r="A126" s="1">
        <v>24394.923828125</v>
      </c>
      <c r="B126" s="42">
        <v>1.5936879384090243</v>
      </c>
      <c r="C126" s="21">
        <f t="shared" si="0"/>
        <v>1.5579000000000001</v>
      </c>
      <c r="D126" s="21">
        <f t="shared" si="1"/>
        <v>0.98877023486236892</v>
      </c>
      <c r="E126" s="21">
        <f t="shared" si="2"/>
        <v>0.98851522842639594</v>
      </c>
      <c r="F126" s="21">
        <f t="shared" si="3"/>
        <v>2.7284263959390653E-3</v>
      </c>
      <c r="G126" s="21"/>
      <c r="H126" s="123"/>
      <c r="I126" s="141"/>
      <c r="J126" s="141"/>
      <c r="K126" s="141"/>
      <c r="L126" s="141"/>
      <c r="M126" s="141"/>
      <c r="N126" s="71"/>
      <c r="O126" s="55"/>
      <c r="P126" s="116"/>
      <c r="Q126" s="65"/>
      <c r="R126" s="65"/>
      <c r="S126" s="65"/>
      <c r="T126" s="65"/>
      <c r="U126" s="65"/>
      <c r="V126" s="65"/>
    </row>
    <row r="127" spans="1:22" x14ac:dyDescent="0.2">
      <c r="A127" s="1">
        <v>26695.9296875</v>
      </c>
      <c r="B127" s="42">
        <v>1.5976879384090243</v>
      </c>
      <c r="C127" s="21">
        <f t="shared" si="0"/>
        <v>1.5619000000000001</v>
      </c>
      <c r="D127" s="21">
        <f t="shared" si="1"/>
        <v>0.99125195091488405</v>
      </c>
      <c r="E127" s="21">
        <f t="shared" si="2"/>
        <v>0.99105329949238574</v>
      </c>
      <c r="F127" s="21">
        <f t="shared" si="3"/>
        <v>2.5380710659897998E-3</v>
      </c>
      <c r="G127" s="21"/>
      <c r="H127" s="123"/>
      <c r="I127" s="141"/>
      <c r="J127" s="141"/>
      <c r="K127" s="141"/>
      <c r="L127" s="141"/>
      <c r="M127" s="141"/>
      <c r="N127" s="71"/>
      <c r="O127" s="55"/>
      <c r="P127" s="116"/>
      <c r="Q127" s="65"/>
      <c r="R127" s="65"/>
      <c r="S127" s="65"/>
      <c r="T127" s="65"/>
      <c r="U127" s="65"/>
      <c r="V127" s="65"/>
    </row>
    <row r="128" spans="1:22" x14ac:dyDescent="0.2">
      <c r="A128" s="1">
        <v>29295.2578125</v>
      </c>
      <c r="B128" s="42">
        <v>1.6009879384090242</v>
      </c>
      <c r="C128" s="21">
        <f t="shared" si="0"/>
        <v>1.5651999999999999</v>
      </c>
      <c r="D128" s="21">
        <f t="shared" si="1"/>
        <v>0.99329936665820895</v>
      </c>
      <c r="E128" s="21">
        <f t="shared" si="2"/>
        <v>0.99314720812182733</v>
      </c>
      <c r="F128" s="21">
        <f t="shared" si="3"/>
        <v>2.0939086294415876E-3</v>
      </c>
      <c r="G128" s="21"/>
      <c r="H128" s="123"/>
      <c r="I128" s="141"/>
      <c r="J128" s="141"/>
      <c r="K128" s="141"/>
      <c r="L128" s="141"/>
      <c r="M128" s="141"/>
      <c r="N128" s="71"/>
      <c r="O128" s="55"/>
      <c r="P128" s="116"/>
      <c r="Q128" s="65"/>
      <c r="R128" s="65"/>
      <c r="S128" s="65"/>
      <c r="T128" s="65"/>
      <c r="U128" s="65"/>
      <c r="V128" s="65"/>
    </row>
    <row r="129" spans="1:23" x14ac:dyDescent="0.2">
      <c r="A129" s="1">
        <v>31990.033203125</v>
      </c>
      <c r="B129" s="42">
        <v>1.6038879384090243</v>
      </c>
      <c r="C129" s="21">
        <f t="shared" si="0"/>
        <v>1.5681</v>
      </c>
      <c r="D129" s="21">
        <f t="shared" si="1"/>
        <v>0.99509861079628259</v>
      </c>
      <c r="E129" s="21">
        <f t="shared" si="2"/>
        <v>0.99498730964467008</v>
      </c>
      <c r="F129" s="21">
        <f t="shared" si="3"/>
        <v>1.840101522842752E-3</v>
      </c>
      <c r="G129" s="21"/>
      <c r="H129" s="123"/>
      <c r="I129" s="141"/>
      <c r="J129" s="141"/>
      <c r="K129" s="141"/>
      <c r="L129" s="141"/>
      <c r="M129" s="141"/>
      <c r="N129" s="71"/>
      <c r="O129" s="55"/>
      <c r="P129" s="116"/>
      <c r="Q129" s="65"/>
      <c r="R129" s="65"/>
      <c r="S129" s="65"/>
      <c r="T129" s="65"/>
      <c r="U129" s="65"/>
      <c r="V129" s="65"/>
    </row>
    <row r="130" spans="1:23" x14ac:dyDescent="0.2">
      <c r="A130" s="1">
        <v>34986.54296875</v>
      </c>
      <c r="B130" s="42">
        <v>1.6071879384090242</v>
      </c>
      <c r="C130" s="21">
        <f t="shared" si="0"/>
        <v>1.5713999999999999</v>
      </c>
      <c r="D130" s="21">
        <f t="shared" si="1"/>
        <v>0.99714602653960749</v>
      </c>
      <c r="E130" s="21">
        <f t="shared" si="2"/>
        <v>0.99708121827411156</v>
      </c>
      <c r="F130" s="21">
        <f t="shared" si="3"/>
        <v>2.0939086294414766E-3</v>
      </c>
      <c r="G130" s="21"/>
      <c r="H130" s="123"/>
      <c r="I130" s="141"/>
      <c r="J130" s="141"/>
      <c r="K130" s="141"/>
      <c r="L130" s="141"/>
      <c r="M130" s="141"/>
      <c r="N130" s="71"/>
      <c r="O130" s="55"/>
      <c r="P130" s="116"/>
      <c r="Q130" s="65"/>
      <c r="R130" s="65"/>
      <c r="S130" s="65"/>
      <c r="T130" s="65"/>
      <c r="U130" s="65"/>
      <c r="V130" s="65"/>
    </row>
    <row r="131" spans="1:23" x14ac:dyDescent="0.2">
      <c r="A131" s="1">
        <v>38281.640625</v>
      </c>
      <c r="B131" s="42">
        <v>1.6071879384090242</v>
      </c>
      <c r="C131" s="21">
        <f t="shared" si="0"/>
        <v>1.5713999999999999</v>
      </c>
      <c r="D131" s="21">
        <f t="shared" si="1"/>
        <v>0.99714602653960749</v>
      </c>
      <c r="E131" s="21">
        <f t="shared" si="2"/>
        <v>0.99708121827411156</v>
      </c>
      <c r="F131" s="21">
        <f t="shared" si="3"/>
        <v>0</v>
      </c>
      <c r="G131" s="21"/>
      <c r="H131" s="123"/>
      <c r="I131" s="141"/>
      <c r="J131" s="141"/>
      <c r="K131" s="141"/>
      <c r="L131" s="141"/>
      <c r="M131" s="141"/>
      <c r="N131" s="71"/>
      <c r="O131" s="55"/>
      <c r="P131" s="116"/>
      <c r="Q131" s="65"/>
      <c r="R131" s="65"/>
      <c r="S131" s="65"/>
      <c r="T131" s="65"/>
      <c r="U131" s="65"/>
      <c r="V131" s="65"/>
    </row>
    <row r="132" spans="1:23" x14ac:dyDescent="0.2">
      <c r="A132" s="1">
        <v>41878.12109375</v>
      </c>
      <c r="B132" s="42">
        <v>1.6092879384090242</v>
      </c>
      <c r="C132" s="21">
        <f t="shared" si="0"/>
        <v>1.5734999999999999</v>
      </c>
      <c r="D132" s="21">
        <f t="shared" si="1"/>
        <v>0.99844892746717795</v>
      </c>
      <c r="E132" s="21">
        <f t="shared" si="2"/>
        <v>0.99841370558375619</v>
      </c>
      <c r="F132" s="21">
        <f t="shared" si="3"/>
        <v>1.3324873096446366E-3</v>
      </c>
      <c r="G132" s="21"/>
      <c r="H132" s="123"/>
      <c r="I132" s="141"/>
      <c r="J132" s="141"/>
      <c r="K132" s="141"/>
      <c r="L132" s="141"/>
      <c r="M132" s="141"/>
      <c r="N132" s="71"/>
      <c r="O132" s="55"/>
      <c r="P132" s="116"/>
      <c r="Q132" s="65"/>
      <c r="R132" s="65"/>
      <c r="S132" s="65"/>
      <c r="T132" s="65"/>
      <c r="U132" s="65"/>
      <c r="V132" s="65"/>
    </row>
    <row r="133" spans="1:23" x14ac:dyDescent="0.2">
      <c r="A133" s="1">
        <v>45775.00390625</v>
      </c>
      <c r="B133" s="42">
        <v>1.6105879384090243</v>
      </c>
      <c r="C133" s="21">
        <f t="shared" si="0"/>
        <v>1.5748</v>
      </c>
      <c r="D133" s="21">
        <f t="shared" si="1"/>
        <v>0.99925548518424534</v>
      </c>
      <c r="E133" s="21">
        <f t="shared" si="2"/>
        <v>0.99923857868020294</v>
      </c>
      <c r="F133" s="21">
        <f t="shared" si="3"/>
        <v>8.2487309644674323E-4</v>
      </c>
      <c r="G133" s="21"/>
      <c r="H133" s="123"/>
      <c r="I133" s="141"/>
      <c r="J133" s="141"/>
      <c r="K133" s="141"/>
      <c r="L133" s="141"/>
      <c r="M133" s="141"/>
      <c r="N133" s="71"/>
      <c r="O133" s="55"/>
      <c r="P133" s="116"/>
      <c r="Q133" s="65"/>
      <c r="R133" s="65"/>
      <c r="S133" s="65"/>
      <c r="T133" s="65"/>
      <c r="U133" s="65"/>
      <c r="V133" s="65"/>
    </row>
    <row r="134" spans="1:23" x14ac:dyDescent="0.2">
      <c r="A134" s="1">
        <v>50072.80078125</v>
      </c>
      <c r="B134" s="42">
        <v>1.6111879384090242</v>
      </c>
      <c r="C134" s="21">
        <f t="shared" si="0"/>
        <v>1.5753999999999999</v>
      </c>
      <c r="D134" s="21">
        <f t="shared" si="1"/>
        <v>0.99962774259212261</v>
      </c>
      <c r="E134" s="21">
        <f t="shared" si="2"/>
        <v>0.99961928934010147</v>
      </c>
      <c r="F134" s="21">
        <f t="shared" si="3"/>
        <v>3.8071065989853103E-4</v>
      </c>
      <c r="G134" s="21"/>
      <c r="H134" s="123"/>
      <c r="I134" s="141"/>
      <c r="J134" s="141"/>
      <c r="K134" s="141"/>
      <c r="L134" s="141"/>
      <c r="M134" s="141"/>
      <c r="N134" s="71"/>
      <c r="O134" s="55"/>
      <c r="P134" s="116"/>
      <c r="Q134" s="65"/>
      <c r="R134" s="65"/>
      <c r="S134" s="65"/>
      <c r="T134" s="65"/>
      <c r="U134" s="65"/>
      <c r="V134" s="65"/>
    </row>
    <row r="135" spans="1:23" x14ac:dyDescent="0.2">
      <c r="A135" s="1">
        <v>54763.6796875</v>
      </c>
      <c r="B135" s="42">
        <v>1.6111879384090242</v>
      </c>
      <c r="C135" s="21">
        <f t="shared" si="0"/>
        <v>1.5753999999999999</v>
      </c>
      <c r="D135" s="21">
        <f t="shared" si="1"/>
        <v>0.99962774259212261</v>
      </c>
      <c r="E135" s="21">
        <f t="shared" si="2"/>
        <v>0.99961928934010147</v>
      </c>
      <c r="F135" s="21">
        <f t="shared" si="3"/>
        <v>0</v>
      </c>
      <c r="G135" s="21"/>
      <c r="H135" s="123"/>
      <c r="I135" s="141"/>
      <c r="J135" s="141"/>
      <c r="K135" s="141"/>
      <c r="L135" s="141"/>
      <c r="M135" s="141"/>
      <c r="N135" s="71"/>
      <c r="O135" s="55"/>
      <c r="P135" s="116"/>
      <c r="Q135" s="65"/>
      <c r="R135" s="65"/>
      <c r="S135" s="65"/>
      <c r="T135" s="65"/>
      <c r="U135" s="65"/>
      <c r="V135" s="65"/>
    </row>
    <row r="136" spans="1:23" x14ac:dyDescent="0.2">
      <c r="A136" s="1">
        <v>59436.1875</v>
      </c>
      <c r="B136" s="42">
        <v>1.6117879384090243</v>
      </c>
      <c r="C136" s="21">
        <f t="shared" si="0"/>
        <v>1.5760000000000001</v>
      </c>
      <c r="D136" s="21">
        <f t="shared" si="1"/>
        <v>1</v>
      </c>
      <c r="E136" s="21">
        <f t="shared" si="2"/>
        <v>1</v>
      </c>
      <c r="F136" s="21">
        <f t="shared" si="3"/>
        <v>3.8071065989853103E-4</v>
      </c>
      <c r="G136" s="21"/>
      <c r="H136" s="40"/>
      <c r="I136" s="1"/>
      <c r="J136" s="1"/>
      <c r="K136" s="1"/>
      <c r="L136" s="1"/>
      <c r="M136" s="1"/>
      <c r="P136" s="116"/>
      <c r="Q136" s="65"/>
      <c r="R136" s="65"/>
      <c r="S136" s="65"/>
      <c r="T136" s="65"/>
      <c r="U136" s="65"/>
      <c r="V136" s="65"/>
    </row>
    <row r="137" spans="1:23" x14ac:dyDescent="0.2">
      <c r="A137" s="1"/>
      <c r="B137" s="42"/>
      <c r="C137" s="21"/>
      <c r="D137" s="21"/>
      <c r="E137" s="21"/>
      <c r="F137" s="21"/>
      <c r="G137" s="21"/>
      <c r="H137" s="40"/>
      <c r="I137" s="1"/>
      <c r="J137" s="1"/>
      <c r="K137" s="1"/>
      <c r="L137" s="1"/>
      <c r="M137" s="1"/>
      <c r="P137" s="78"/>
      <c r="Q137" s="65"/>
      <c r="R137" s="65"/>
      <c r="S137" s="65"/>
      <c r="T137" s="65"/>
      <c r="U137" s="65"/>
      <c r="V137" s="65"/>
    </row>
    <row r="138" spans="1:23" x14ac:dyDescent="0.2">
      <c r="A138" s="1"/>
      <c r="B138" s="42"/>
      <c r="C138" s="21"/>
      <c r="D138" s="21"/>
      <c r="E138" s="21"/>
      <c r="F138" s="21"/>
      <c r="G138" s="21"/>
      <c r="H138" s="40"/>
      <c r="I138" s="1"/>
      <c r="J138" s="1"/>
      <c r="K138" s="1"/>
      <c r="L138" s="1"/>
      <c r="M138" s="1"/>
      <c r="P138" s="78"/>
      <c r="Q138" s="65"/>
      <c r="R138" s="65"/>
      <c r="S138" s="65"/>
      <c r="T138" s="65"/>
      <c r="U138" s="65"/>
      <c r="V138" s="65"/>
    </row>
    <row r="139" spans="1:23" x14ac:dyDescent="0.2">
      <c r="A139" s="1"/>
      <c r="B139" s="42"/>
      <c r="C139" s="21"/>
      <c r="D139" s="21"/>
      <c r="E139" s="21"/>
      <c r="F139" s="21"/>
      <c r="G139" s="21"/>
      <c r="H139" s="40"/>
      <c r="I139" s="1"/>
      <c r="J139" s="1"/>
      <c r="K139" s="1"/>
      <c r="L139" s="1"/>
      <c r="M139" s="1"/>
      <c r="P139" s="78"/>
      <c r="Q139" s="65"/>
      <c r="R139" s="65"/>
      <c r="S139" s="65"/>
      <c r="T139" s="65"/>
      <c r="U139" s="65"/>
      <c r="V139" s="65"/>
    </row>
    <row r="140" spans="1:23" x14ac:dyDescent="0.2">
      <c r="A140" s="1"/>
      <c r="B140" s="42"/>
      <c r="C140" s="21"/>
      <c r="D140" s="21"/>
      <c r="E140" s="21"/>
      <c r="F140" s="21"/>
      <c r="G140" s="21"/>
      <c r="H140" s="40"/>
      <c r="I140" s="1"/>
      <c r="J140" s="1"/>
      <c r="K140" s="1"/>
      <c r="L140" s="1"/>
      <c r="M140" s="1"/>
      <c r="P140" s="78"/>
      <c r="Q140" s="65"/>
      <c r="R140" s="65"/>
      <c r="S140" s="65"/>
      <c r="T140" s="65"/>
      <c r="U140" s="65"/>
      <c r="V140" s="65"/>
    </row>
    <row r="141" spans="1:23" x14ac:dyDescent="0.2">
      <c r="A141" s="1"/>
      <c r="B141" s="42"/>
      <c r="C141" s="21"/>
      <c r="D141" s="21"/>
      <c r="E141" s="21"/>
      <c r="F141" s="21"/>
      <c r="G141" s="21"/>
      <c r="H141" s="21"/>
      <c r="I141" s="21"/>
      <c r="J141" s="21"/>
      <c r="K141" s="21"/>
      <c r="L141" s="21"/>
      <c r="M141" s="21"/>
      <c r="N141" s="21"/>
      <c r="O141" s="40"/>
      <c r="P141" s="1"/>
      <c r="Q141" s="1"/>
      <c r="R141" s="1"/>
      <c r="S141" s="1"/>
      <c r="T141" s="1"/>
      <c r="W141" s="78"/>
    </row>
  </sheetData>
  <mergeCells count="7">
    <mergeCell ref="A5:M5"/>
    <mergeCell ref="I32:J32"/>
    <mergeCell ref="I33:J33"/>
    <mergeCell ref="I34:J34"/>
    <mergeCell ref="K32:L32"/>
    <mergeCell ref="K33:L33"/>
    <mergeCell ref="K34:L34"/>
  </mergeCells>
  <printOptions horizontalCentered="1"/>
  <pageMargins left="0.5" right="0.5" top="0.1" bottom="0.25" header="0" footer="0"/>
  <pageSetup scale="65" orientation="portrait"/>
  <rowBreaks count="2" manualBreakCount="2">
    <brk id="86" max="12" man="1"/>
    <brk id="162" max="12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showGridLines="0" workbookViewId="0">
      <selection activeCell="O4" sqref="O4"/>
    </sheetView>
  </sheetViews>
  <sheetFormatPr defaultColWidth="8.85546875" defaultRowHeight="12.75" x14ac:dyDescent="0.2"/>
  <cols>
    <col min="1" max="17" width="8.140625" style="44" customWidth="1"/>
    <col min="18" max="16384" width="8.85546875" style="44"/>
  </cols>
  <sheetData>
    <row r="1" spans="1:15" ht="15.75" x14ac:dyDescent="0.25">
      <c r="C1" s="161" t="s">
        <v>11</v>
      </c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50"/>
      <c r="O1" s="150"/>
    </row>
    <row r="2" spans="1:15" x14ac:dyDescent="0.2">
      <c r="C2" s="22" t="str">
        <f>Table!A7</f>
        <v>NordAq Energy Inc.</v>
      </c>
      <c r="K2" s="13" t="str">
        <f>Table!L7</f>
        <v>Sample Number:</v>
      </c>
      <c r="N2" s="130"/>
      <c r="O2" s="19" t="str">
        <f>Table!$P$7</f>
        <v>9</v>
      </c>
    </row>
    <row r="3" spans="1:15" x14ac:dyDescent="0.2">
      <c r="C3" s="22" t="str">
        <f>Table!A8</f>
        <v>East Simpson No. 2 (USGS/Husky 1980)</v>
      </c>
      <c r="K3" s="13" t="str">
        <f>Table!L8</f>
        <v>Sample Depth, m:</v>
      </c>
      <c r="N3" s="45"/>
      <c r="O3" s="62">
        <f>Table!$P$8</f>
        <v>6072.7</v>
      </c>
    </row>
    <row r="4" spans="1:15" x14ac:dyDescent="0.2">
      <c r="C4" s="22" t="str">
        <f>Table!A9</f>
        <v>Torok Sandstones Formation</v>
      </c>
      <c r="K4" s="13" t="str">
        <f>Table!L9</f>
        <v>Permeability to Air (calc), mD:</v>
      </c>
      <c r="M4" s="59"/>
      <c r="N4" s="144"/>
      <c r="O4" s="67">
        <f>Table!$P$9</f>
        <v>0.96314080801338708</v>
      </c>
    </row>
    <row r="5" spans="1:15" x14ac:dyDescent="0.2">
      <c r="C5" s="22" t="str">
        <f>Table!A10</f>
        <v>HH-61176</v>
      </c>
      <c r="D5" s="6"/>
      <c r="E5" s="6"/>
      <c r="F5" s="99"/>
      <c r="G5" s="6"/>
      <c r="K5" s="13" t="str">
        <f>Table!L10</f>
        <v>Porosity, fraction:</v>
      </c>
      <c r="M5" s="59"/>
      <c r="N5" s="144"/>
      <c r="O5" s="67">
        <f>Table!$P$10</f>
        <v>0.14440315037789067</v>
      </c>
    </row>
    <row r="6" spans="1:15" x14ac:dyDescent="0.2">
      <c r="A6" s="59"/>
      <c r="C6" s="22"/>
      <c r="D6" s="73"/>
      <c r="E6" s="73"/>
      <c r="F6" s="73"/>
      <c r="G6" s="59"/>
      <c r="K6" s="13" t="str">
        <f>Table!L11</f>
        <v>Grain Density, grams/cc:</v>
      </c>
      <c r="M6" s="73"/>
      <c r="N6" s="2"/>
      <c r="O6" s="99">
        <f>Table!$P$11</f>
        <v>2.6737305569881857</v>
      </c>
    </row>
    <row r="7" spans="1:15" x14ac:dyDescent="0.2">
      <c r="B7" s="22"/>
      <c r="D7" s="59"/>
      <c r="E7" s="59"/>
      <c r="I7" s="13"/>
      <c r="K7" s="73"/>
      <c r="L7" s="37"/>
      <c r="M7" s="136"/>
    </row>
    <row r="8" spans="1:15" x14ac:dyDescent="0.2">
      <c r="B8" s="22"/>
      <c r="D8" s="59"/>
      <c r="E8" s="59"/>
      <c r="I8" s="13"/>
      <c r="K8" s="73"/>
      <c r="L8" s="37"/>
      <c r="M8" s="136"/>
    </row>
    <row r="9" spans="1:15" ht="12" customHeight="1" x14ac:dyDescent="0.2">
      <c r="B9" s="59"/>
      <c r="C9" s="59"/>
      <c r="D9" s="59"/>
      <c r="E9" s="59"/>
      <c r="F9" s="59"/>
    </row>
    <row r="10" spans="1:15" x14ac:dyDescent="0.2">
      <c r="B10" s="59"/>
      <c r="C10" s="59"/>
      <c r="D10" s="59"/>
      <c r="E10" s="59"/>
      <c r="F10" s="59"/>
      <c r="K10" s="73"/>
      <c r="L10" s="37"/>
    </row>
    <row r="11" spans="1:15" x14ac:dyDescent="0.2">
      <c r="B11" s="59"/>
      <c r="C11" s="59"/>
      <c r="D11" s="73"/>
      <c r="E11" s="59"/>
      <c r="F11" s="59"/>
      <c r="K11" s="73"/>
      <c r="L11" s="37"/>
    </row>
    <row r="12" spans="1:15" x14ac:dyDescent="0.2">
      <c r="B12" s="59"/>
      <c r="C12" s="59"/>
      <c r="D12" s="73"/>
      <c r="E12" s="59"/>
      <c r="F12" s="59"/>
      <c r="G12" s="13"/>
      <c r="H12" s="59"/>
      <c r="I12" s="59"/>
      <c r="J12" s="67"/>
      <c r="K12" s="73"/>
      <c r="L12" s="37"/>
    </row>
    <row r="13" spans="1:15" x14ac:dyDescent="0.2">
      <c r="A13" s="22"/>
      <c r="B13" s="59"/>
      <c r="C13" s="59"/>
      <c r="D13" s="59"/>
      <c r="E13" s="59"/>
      <c r="F13" s="59"/>
      <c r="G13" s="59"/>
      <c r="H13" s="59"/>
      <c r="I13" s="144"/>
      <c r="J13" s="73"/>
      <c r="K13" s="73"/>
      <c r="L13" s="37"/>
    </row>
    <row r="14" spans="1:15" x14ac:dyDescent="0.2">
      <c r="A14" s="88"/>
      <c r="B14" s="88"/>
      <c r="C14" s="88"/>
      <c r="D14" s="88"/>
      <c r="E14" s="88"/>
      <c r="F14" s="88"/>
      <c r="G14" s="88"/>
      <c r="H14" s="88"/>
      <c r="I14" s="88"/>
      <c r="J14" s="88"/>
      <c r="K14" s="73"/>
      <c r="L14" s="37"/>
    </row>
    <row r="15" spans="1:15" x14ac:dyDescent="0.2">
      <c r="A15" s="88"/>
      <c r="B15" s="88"/>
      <c r="C15" s="88"/>
      <c r="D15" s="88"/>
      <c r="E15" s="88"/>
      <c r="F15" s="88"/>
      <c r="G15" s="88"/>
      <c r="H15" s="88"/>
      <c r="I15" s="88"/>
      <c r="J15" s="88"/>
      <c r="K15" s="59"/>
      <c r="L15" s="37"/>
    </row>
    <row r="16" spans="1:15" x14ac:dyDescent="0.2">
      <c r="A16" s="88"/>
      <c r="B16" s="88"/>
      <c r="C16" s="88"/>
      <c r="D16" s="88"/>
      <c r="E16" s="88"/>
      <c r="F16" s="88"/>
      <c r="G16" s="88"/>
      <c r="H16" s="88"/>
      <c r="I16" s="88"/>
      <c r="J16" s="88"/>
      <c r="K16" s="59"/>
      <c r="L16" s="37"/>
    </row>
    <row r="17" spans="1:12" x14ac:dyDescent="0.2">
      <c r="A17" s="3"/>
      <c r="B17" s="3"/>
      <c r="C17" s="3"/>
      <c r="D17" s="3"/>
      <c r="E17" s="3"/>
      <c r="F17" s="3"/>
      <c r="G17" s="3"/>
      <c r="H17" s="3"/>
      <c r="I17" s="3"/>
      <c r="J17" s="3"/>
      <c r="K17" s="59"/>
      <c r="L17" s="116"/>
    </row>
    <row r="18" spans="1:12" x14ac:dyDescent="0.2">
      <c r="A18" s="78"/>
      <c r="B18" s="125"/>
      <c r="C18" s="125"/>
      <c r="D18" s="56"/>
      <c r="E18" s="24"/>
      <c r="F18" s="10"/>
      <c r="G18" s="10"/>
      <c r="H18" s="10"/>
      <c r="I18" s="10"/>
      <c r="J18" s="10"/>
      <c r="K18" s="59"/>
      <c r="L18" s="116"/>
    </row>
    <row r="19" spans="1:12" x14ac:dyDescent="0.2">
      <c r="A19" s="11"/>
      <c r="B19" s="125"/>
      <c r="C19" s="125"/>
      <c r="D19" s="56"/>
      <c r="E19" s="24"/>
      <c r="F19" s="10"/>
      <c r="G19" s="10"/>
      <c r="H19" s="10"/>
      <c r="I19" s="10"/>
      <c r="J19" s="10"/>
      <c r="K19" s="59"/>
      <c r="L19" s="116"/>
    </row>
    <row r="20" spans="1:12" x14ac:dyDescent="0.2">
      <c r="A20" s="11"/>
      <c r="B20" s="125"/>
      <c r="C20" s="125"/>
      <c r="D20" s="56"/>
      <c r="E20" s="24"/>
      <c r="F20" s="10"/>
      <c r="G20" s="10"/>
      <c r="H20" s="10"/>
      <c r="I20" s="10"/>
      <c r="J20" s="10"/>
      <c r="K20" s="59"/>
      <c r="L20" s="3"/>
    </row>
    <row r="21" spans="1:12" x14ac:dyDescent="0.2">
      <c r="A21" s="11"/>
      <c r="B21" s="125"/>
      <c r="C21" s="125"/>
      <c r="D21" s="56"/>
      <c r="E21" s="24"/>
      <c r="F21" s="10"/>
      <c r="G21" s="10"/>
      <c r="H21" s="10"/>
      <c r="I21" s="10"/>
      <c r="J21" s="10"/>
      <c r="K21" s="59"/>
      <c r="L21" s="53"/>
    </row>
    <row r="22" spans="1:12" x14ac:dyDescent="0.2">
      <c r="A22" s="11"/>
      <c r="B22" s="125"/>
      <c r="C22" s="125"/>
      <c r="D22" s="56"/>
      <c r="E22" s="24"/>
      <c r="F22" s="10"/>
      <c r="G22" s="10"/>
      <c r="H22" s="10"/>
      <c r="I22" s="10"/>
      <c r="J22" s="10"/>
      <c r="K22" s="59"/>
      <c r="L22" s="53"/>
    </row>
    <row r="23" spans="1:12" x14ac:dyDescent="0.2">
      <c r="A23" s="11"/>
      <c r="B23" s="125"/>
      <c r="C23" s="125"/>
      <c r="D23" s="56"/>
      <c r="E23" s="24"/>
      <c r="F23" s="10"/>
      <c r="G23" s="10"/>
      <c r="H23" s="10"/>
      <c r="I23" s="10"/>
      <c r="J23" s="10"/>
      <c r="K23" s="59"/>
      <c r="L23" s="53"/>
    </row>
    <row r="24" spans="1:12" x14ac:dyDescent="0.2">
      <c r="A24" s="127"/>
      <c r="B24" s="125"/>
      <c r="C24" s="125"/>
      <c r="D24" s="56"/>
      <c r="E24" s="24"/>
      <c r="F24" s="10"/>
      <c r="G24" s="10"/>
      <c r="H24" s="10"/>
      <c r="I24" s="10"/>
      <c r="J24" s="10"/>
      <c r="K24" s="59"/>
      <c r="L24" s="53"/>
    </row>
    <row r="25" spans="1:12" x14ac:dyDescent="0.2">
      <c r="A25" s="127"/>
      <c r="B25" s="125"/>
      <c r="C25" s="125"/>
      <c r="D25" s="56"/>
      <c r="E25" s="24"/>
      <c r="F25" s="10"/>
      <c r="G25" s="10"/>
      <c r="H25" s="10"/>
      <c r="I25" s="10"/>
      <c r="J25" s="10"/>
      <c r="K25" s="59"/>
      <c r="L25" s="53"/>
    </row>
    <row r="26" spans="1:12" x14ac:dyDescent="0.2">
      <c r="A26" s="127"/>
      <c r="B26" s="125"/>
      <c r="C26" s="125"/>
      <c r="D26" s="56"/>
      <c r="E26" s="24"/>
      <c r="F26" s="10"/>
      <c r="G26" s="10"/>
      <c r="H26" s="10"/>
      <c r="I26" s="10"/>
      <c r="J26" s="10"/>
      <c r="K26" s="59"/>
      <c r="L26" s="53"/>
    </row>
    <row r="27" spans="1:12" ht="15.75" customHeight="1" x14ac:dyDescent="0.2">
      <c r="A27" s="127"/>
      <c r="B27" s="125"/>
      <c r="C27" s="125"/>
      <c r="D27" s="56"/>
      <c r="E27" s="24"/>
      <c r="F27" s="10"/>
      <c r="G27" s="10"/>
      <c r="H27" s="10"/>
      <c r="I27" s="10"/>
      <c r="J27" s="10"/>
      <c r="K27" s="59"/>
      <c r="L27" s="53"/>
    </row>
    <row r="28" spans="1:12" x14ac:dyDescent="0.2">
      <c r="A28" s="127"/>
      <c r="B28" s="125"/>
      <c r="C28" s="125"/>
      <c r="D28" s="56"/>
      <c r="E28" s="24"/>
      <c r="F28" s="10"/>
      <c r="G28" s="10"/>
      <c r="H28" s="10"/>
      <c r="I28" s="10"/>
      <c r="J28" s="10"/>
      <c r="K28" s="59"/>
      <c r="L28" s="53"/>
    </row>
    <row r="29" spans="1:12" x14ac:dyDescent="0.2">
      <c r="A29" s="26"/>
      <c r="B29" s="125"/>
      <c r="C29" s="125"/>
      <c r="D29" s="56"/>
      <c r="E29" s="24"/>
      <c r="F29" s="10"/>
      <c r="G29" s="10"/>
      <c r="H29" s="10"/>
      <c r="I29" s="10"/>
      <c r="J29" s="10"/>
      <c r="K29" s="59"/>
      <c r="L29" s="53"/>
    </row>
    <row r="30" spans="1:12" x14ac:dyDescent="0.2">
      <c r="A30" s="26"/>
      <c r="B30" s="125"/>
      <c r="C30" s="125"/>
      <c r="D30" s="56"/>
      <c r="E30" s="24"/>
      <c r="F30" s="10"/>
      <c r="G30" s="10"/>
      <c r="H30" s="10"/>
      <c r="I30" s="10"/>
      <c r="J30" s="10"/>
      <c r="K30" s="59"/>
      <c r="L30" s="53"/>
    </row>
    <row r="31" spans="1:12" x14ac:dyDescent="0.2">
      <c r="A31" s="26"/>
      <c r="B31" s="125"/>
      <c r="C31" s="125"/>
      <c r="D31" s="56"/>
      <c r="E31" s="24"/>
      <c r="F31" s="10"/>
      <c r="G31" s="10"/>
      <c r="H31" s="10"/>
      <c r="I31" s="10"/>
      <c r="J31" s="10"/>
      <c r="K31" s="59"/>
      <c r="L31" s="53"/>
    </row>
    <row r="32" spans="1:12" x14ac:dyDescent="0.2">
      <c r="A32" s="26"/>
      <c r="B32" s="125"/>
      <c r="C32" s="125"/>
      <c r="D32" s="56"/>
      <c r="E32" s="24"/>
      <c r="F32" s="10"/>
      <c r="G32" s="10"/>
      <c r="H32" s="10"/>
      <c r="I32" s="10"/>
      <c r="J32" s="10"/>
      <c r="K32" s="59"/>
      <c r="L32" s="53"/>
    </row>
    <row r="33" spans="1:12" x14ac:dyDescent="0.2">
      <c r="A33" s="26"/>
      <c r="B33" s="125"/>
      <c r="C33" s="125"/>
      <c r="D33" s="56"/>
      <c r="E33" s="24"/>
      <c r="F33" s="10"/>
      <c r="G33" s="10"/>
      <c r="H33" s="10"/>
      <c r="I33" s="10"/>
      <c r="J33" s="10"/>
      <c r="K33" s="59"/>
      <c r="L33" s="53"/>
    </row>
    <row r="34" spans="1:12" x14ac:dyDescent="0.2">
      <c r="A34" s="86"/>
      <c r="B34" s="125"/>
      <c r="C34" s="125"/>
      <c r="D34" s="56"/>
      <c r="E34" s="24"/>
      <c r="F34" s="10"/>
      <c r="G34" s="10"/>
      <c r="H34" s="10"/>
      <c r="I34" s="10"/>
      <c r="J34" s="10"/>
      <c r="K34" s="59"/>
      <c r="L34" s="53"/>
    </row>
    <row r="35" spans="1:12" x14ac:dyDescent="0.2">
      <c r="A35" s="86"/>
      <c r="B35" s="125"/>
      <c r="C35" s="125"/>
      <c r="D35" s="56"/>
      <c r="E35" s="24"/>
      <c r="F35" s="10"/>
      <c r="G35" s="10"/>
      <c r="H35" s="10"/>
      <c r="I35" s="10"/>
      <c r="J35" s="10"/>
      <c r="K35" s="59"/>
      <c r="L35" s="53"/>
    </row>
    <row r="36" spans="1:12" x14ac:dyDescent="0.2">
      <c r="A36" s="86"/>
      <c r="B36" s="125"/>
      <c r="C36" s="125"/>
      <c r="D36" s="56"/>
      <c r="E36" s="24"/>
      <c r="F36" s="10"/>
      <c r="G36" s="10"/>
      <c r="H36" s="10"/>
      <c r="I36" s="10"/>
      <c r="J36" s="10"/>
      <c r="K36" s="59"/>
      <c r="L36" s="53"/>
    </row>
    <row r="37" spans="1:12" x14ac:dyDescent="0.2">
      <c r="A37" s="86"/>
      <c r="B37" s="125"/>
      <c r="C37" s="125"/>
      <c r="D37" s="56"/>
      <c r="E37" s="24"/>
      <c r="F37" s="10"/>
      <c r="G37" s="10"/>
      <c r="H37" s="10"/>
      <c r="I37" s="10"/>
      <c r="J37" s="10"/>
      <c r="K37" s="59"/>
      <c r="L37" s="53"/>
    </row>
    <row r="38" spans="1:12" x14ac:dyDescent="0.2">
      <c r="A38" s="86"/>
      <c r="B38" s="125"/>
      <c r="C38" s="125"/>
      <c r="D38" s="56"/>
      <c r="E38" s="24"/>
      <c r="F38" s="10"/>
      <c r="G38" s="10"/>
      <c r="H38" s="10"/>
      <c r="I38" s="10"/>
      <c r="J38" s="10"/>
      <c r="K38" s="59"/>
      <c r="L38" s="53"/>
    </row>
    <row r="39" spans="1:12" x14ac:dyDescent="0.2">
      <c r="A39" s="86"/>
      <c r="B39" s="125"/>
      <c r="C39" s="125"/>
      <c r="D39" s="56"/>
      <c r="E39" s="24"/>
      <c r="F39" s="10"/>
      <c r="G39" s="10"/>
      <c r="H39" s="10"/>
      <c r="I39" s="10"/>
      <c r="J39" s="10"/>
      <c r="K39" s="59"/>
      <c r="L39" s="53"/>
    </row>
    <row r="40" spans="1:12" x14ac:dyDescent="0.2">
      <c r="A40" s="86"/>
      <c r="B40" s="125"/>
      <c r="C40" s="125"/>
      <c r="D40" s="56"/>
      <c r="E40" s="24"/>
      <c r="F40" s="10"/>
      <c r="G40" s="10"/>
      <c r="H40" s="10"/>
      <c r="I40" s="10"/>
      <c r="J40" s="10"/>
      <c r="K40" s="59"/>
      <c r="L40" s="53"/>
    </row>
    <row r="41" spans="1:12" x14ac:dyDescent="0.2">
      <c r="A41" s="86"/>
      <c r="B41" s="125"/>
      <c r="C41" s="125"/>
      <c r="D41" s="56"/>
      <c r="E41" s="24"/>
      <c r="F41" s="10"/>
      <c r="G41" s="10"/>
      <c r="H41" s="10"/>
      <c r="I41" s="10"/>
      <c r="J41" s="10"/>
      <c r="K41" s="59"/>
      <c r="L41" s="53"/>
    </row>
    <row r="42" spans="1:12" x14ac:dyDescent="0.2">
      <c r="A42" s="86"/>
      <c r="B42" s="125"/>
      <c r="C42" s="125"/>
      <c r="D42" s="56"/>
      <c r="E42" s="24"/>
      <c r="F42" s="10"/>
      <c r="G42" s="10"/>
      <c r="H42" s="10"/>
      <c r="I42" s="10"/>
      <c r="J42" s="10"/>
      <c r="K42" s="59"/>
      <c r="L42" s="53"/>
    </row>
    <row r="43" spans="1:12" x14ac:dyDescent="0.2">
      <c r="A43" s="86"/>
      <c r="B43" s="125"/>
      <c r="C43" s="125"/>
      <c r="D43" s="56"/>
      <c r="E43" s="24"/>
      <c r="F43" s="10"/>
      <c r="G43" s="10"/>
      <c r="H43" s="10"/>
      <c r="I43" s="10"/>
      <c r="J43" s="10"/>
      <c r="K43" s="59"/>
      <c r="L43" s="53"/>
    </row>
    <row r="44" spans="1:12" x14ac:dyDescent="0.2">
      <c r="A44" s="65"/>
      <c r="B44" s="65"/>
      <c r="C44" s="65"/>
      <c r="D44" s="65"/>
      <c r="E44" s="65"/>
      <c r="F44" s="65"/>
      <c r="G44" s="65"/>
      <c r="H44" s="65"/>
      <c r="I44" s="65"/>
      <c r="J44" s="65"/>
    </row>
    <row r="45" spans="1:12" ht="17.25" customHeight="1" x14ac:dyDescent="0.2">
      <c r="A45" s="65"/>
      <c r="B45" s="65"/>
      <c r="C45" s="65"/>
      <c r="D45" s="65"/>
      <c r="E45" s="65"/>
      <c r="F45" s="65"/>
      <c r="G45" s="65"/>
      <c r="H45" s="65"/>
      <c r="I45" s="65"/>
      <c r="J45" s="65"/>
    </row>
    <row r="46" spans="1:12" x14ac:dyDescent="0.2">
      <c r="A46" s="65"/>
      <c r="B46" s="65"/>
      <c r="C46" s="65"/>
      <c r="D46" s="65"/>
      <c r="E46" s="65"/>
      <c r="F46" s="65"/>
      <c r="G46" s="65"/>
      <c r="H46" s="65"/>
      <c r="I46" s="65"/>
      <c r="J46" s="65"/>
    </row>
    <row r="47" spans="1:12" x14ac:dyDescent="0.2">
      <c r="A47" s="65"/>
      <c r="B47" s="65"/>
      <c r="C47" s="65"/>
      <c r="D47" s="65"/>
      <c r="E47" s="65"/>
      <c r="F47" s="65"/>
      <c r="G47" s="65"/>
      <c r="H47" s="65"/>
      <c r="I47" s="65"/>
      <c r="J47" s="65"/>
      <c r="K47" s="65"/>
    </row>
    <row r="48" spans="1:12" ht="15" x14ac:dyDescent="0.2">
      <c r="A48" s="65"/>
      <c r="B48" s="65"/>
      <c r="C48" s="65"/>
      <c r="D48" s="65"/>
      <c r="E48" s="65"/>
      <c r="F48" s="65"/>
      <c r="G48" s="65"/>
      <c r="H48" s="75"/>
      <c r="I48" s="33"/>
      <c r="J48" s="142"/>
      <c r="K48" s="65"/>
    </row>
    <row r="49" spans="1:12" x14ac:dyDescent="0.2">
      <c r="A49" s="65"/>
      <c r="B49" s="65"/>
      <c r="C49" s="65"/>
      <c r="D49" s="65"/>
      <c r="E49" s="65"/>
      <c r="F49" s="65"/>
      <c r="G49" s="65"/>
      <c r="H49" s="33"/>
      <c r="I49" s="33"/>
      <c r="J49" s="142"/>
      <c r="K49" s="65"/>
    </row>
    <row r="50" spans="1:12" x14ac:dyDescent="0.2">
      <c r="G50" s="65"/>
      <c r="H50" s="33"/>
      <c r="I50" s="33"/>
      <c r="J50" s="142"/>
      <c r="K50" s="65"/>
    </row>
    <row r="51" spans="1:12" x14ac:dyDescent="0.2">
      <c r="G51" s="65"/>
      <c r="H51" s="33"/>
      <c r="I51" s="33"/>
      <c r="J51" s="142"/>
      <c r="K51" s="65"/>
    </row>
    <row r="52" spans="1:12" x14ac:dyDescent="0.2">
      <c r="G52" s="65"/>
      <c r="H52" s="33"/>
      <c r="I52" s="33"/>
      <c r="J52" s="142"/>
      <c r="K52" s="65"/>
    </row>
    <row r="53" spans="1:12" x14ac:dyDescent="0.2">
      <c r="G53" s="65"/>
      <c r="H53" s="65"/>
      <c r="I53" s="65"/>
      <c r="J53" s="65"/>
      <c r="K53" s="65"/>
    </row>
    <row r="54" spans="1:12" x14ac:dyDescent="0.2">
      <c r="G54" s="65"/>
      <c r="H54" s="65"/>
      <c r="I54" s="65"/>
      <c r="J54" s="65"/>
      <c r="K54" s="65"/>
    </row>
    <row r="56" spans="1:12" x14ac:dyDescent="0.2">
      <c r="J56"/>
      <c r="K56"/>
      <c r="L56"/>
    </row>
    <row r="57" spans="1:12" x14ac:dyDescent="0.2">
      <c r="J57"/>
      <c r="K57"/>
      <c r="L57"/>
    </row>
    <row r="58" spans="1:12" x14ac:dyDescent="0.2">
      <c r="J58"/>
      <c r="K58"/>
      <c r="L58"/>
    </row>
    <row r="59" spans="1:12" x14ac:dyDescent="0.2">
      <c r="J59"/>
      <c r="K59"/>
      <c r="L59"/>
    </row>
    <row r="60" spans="1:12" x14ac:dyDescent="0.2">
      <c r="J60"/>
      <c r="K60"/>
      <c r="L60"/>
    </row>
  </sheetData>
  <mergeCells count="1">
    <mergeCell ref="C1:M1"/>
  </mergeCells>
  <printOptions horizontalCentered="1"/>
  <pageMargins left="0.5" right="0.5" top="0.5" bottom="0.5" header="0" footer="0"/>
  <pageSetup scale="9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"/>
  <sheetViews>
    <sheetView showGridLines="0" workbookViewId="0">
      <selection activeCell="R35" sqref="R35"/>
    </sheetView>
  </sheetViews>
  <sheetFormatPr defaultColWidth="8.85546875" defaultRowHeight="12.75" x14ac:dyDescent="0.2"/>
  <cols>
    <col min="1" max="7" width="8.28515625" style="44" customWidth="1"/>
    <col min="8" max="8" width="4.85546875" style="44" customWidth="1"/>
    <col min="9" max="14" width="8.28515625" style="44" customWidth="1"/>
    <col min="15" max="15" width="13.140625" style="44" customWidth="1"/>
    <col min="16" max="19" width="8.28515625" style="44" customWidth="1"/>
    <col min="20" max="16384" width="8.85546875" style="44"/>
  </cols>
  <sheetData>
    <row r="1" spans="1:15" ht="15.75" x14ac:dyDescent="0.25">
      <c r="C1" s="161" t="s">
        <v>11</v>
      </c>
      <c r="D1" s="161"/>
      <c r="E1" s="161"/>
      <c r="F1" s="161"/>
      <c r="G1" s="161"/>
      <c r="H1" s="161"/>
      <c r="I1" s="161"/>
      <c r="J1" s="161"/>
      <c r="K1" s="161"/>
      <c r="L1" s="161"/>
      <c r="M1" s="161"/>
    </row>
    <row r="2" spans="1:15" x14ac:dyDescent="0.2">
      <c r="C2" s="22" t="str">
        <f>Table!A7</f>
        <v>NordAq Energy Inc.</v>
      </c>
      <c r="K2" s="13" t="str">
        <f>Table!L7</f>
        <v>Sample Number:</v>
      </c>
      <c r="O2" s="19" t="str">
        <f>Table!$P$7</f>
        <v>9</v>
      </c>
    </row>
    <row r="3" spans="1:15" x14ac:dyDescent="0.2">
      <c r="C3" s="22" t="str">
        <f>Table!A8</f>
        <v>East Simpson No. 2 (USGS/Husky 1980)</v>
      </c>
      <c r="K3" s="13" t="str">
        <f>Table!L8</f>
        <v>Sample Depth, m:</v>
      </c>
      <c r="O3" s="62">
        <f>Table!$P$8</f>
        <v>6072.7</v>
      </c>
    </row>
    <row r="4" spans="1:15" x14ac:dyDescent="0.2">
      <c r="C4" s="22" t="str">
        <f>Table!A9</f>
        <v>Torok Sandstones Formation</v>
      </c>
      <c r="K4" s="13" t="str">
        <f>Table!L9</f>
        <v>Permeability to Air (calc), mD:</v>
      </c>
      <c r="M4" s="59"/>
      <c r="N4" s="59"/>
      <c r="O4" s="67">
        <f>Table!$P$9</f>
        <v>0.96314080801338708</v>
      </c>
    </row>
    <row r="5" spans="1:15" x14ac:dyDescent="0.2">
      <c r="C5" s="22" t="str">
        <f>Table!A10</f>
        <v>HH-61176</v>
      </c>
      <c r="D5" s="151"/>
      <c r="E5" s="151"/>
      <c r="F5" s="99"/>
      <c r="G5" s="151"/>
      <c r="K5" s="13" t="str">
        <f>Table!L10</f>
        <v>Porosity, fraction:</v>
      </c>
      <c r="M5" s="59"/>
      <c r="N5" s="59"/>
      <c r="O5" s="67">
        <f>Table!$P$10</f>
        <v>0.14440315037789067</v>
      </c>
    </row>
    <row r="6" spans="1:15" x14ac:dyDescent="0.2">
      <c r="A6" s="59"/>
      <c r="C6" s="22"/>
      <c r="D6" s="73"/>
      <c r="E6" s="73"/>
      <c r="F6" s="73"/>
      <c r="G6" s="59"/>
      <c r="K6" s="13" t="str">
        <f>Table!L11</f>
        <v>Grain Density, grams/cc:</v>
      </c>
      <c r="M6" s="73"/>
      <c r="N6" s="73"/>
      <c r="O6" s="99">
        <f>Table!$P$11</f>
        <v>2.6737305569881857</v>
      </c>
    </row>
    <row r="7" spans="1:15" x14ac:dyDescent="0.2">
      <c r="B7" s="22"/>
      <c r="D7" s="59"/>
      <c r="E7" s="59"/>
      <c r="I7" s="13"/>
      <c r="K7" s="73"/>
      <c r="L7" s="37"/>
      <c r="M7" s="136"/>
    </row>
    <row r="8" spans="1:15" x14ac:dyDescent="0.2">
      <c r="B8" s="59"/>
      <c r="C8" s="59"/>
      <c r="D8" s="59"/>
      <c r="E8" s="59"/>
      <c r="F8" s="59"/>
    </row>
    <row r="9" spans="1:15" x14ac:dyDescent="0.2">
      <c r="B9" s="59"/>
      <c r="C9" s="59"/>
      <c r="D9" s="59"/>
      <c r="E9" s="59"/>
      <c r="F9" s="59"/>
      <c r="K9" s="73"/>
      <c r="L9" s="37"/>
    </row>
    <row r="10" spans="1:15" x14ac:dyDescent="0.2">
      <c r="B10" s="59"/>
      <c r="C10" s="59"/>
      <c r="D10" s="73"/>
      <c r="E10" s="59"/>
      <c r="F10" s="59"/>
      <c r="K10" s="73"/>
      <c r="L10" s="37"/>
    </row>
    <row r="11" spans="1:15" x14ac:dyDescent="0.2">
      <c r="B11" s="59"/>
      <c r="C11" s="59"/>
      <c r="D11" s="73"/>
      <c r="E11" s="59"/>
      <c r="F11" s="59"/>
      <c r="G11" s="13"/>
      <c r="H11" s="59"/>
      <c r="I11" s="59"/>
      <c r="J11" s="67"/>
      <c r="K11" s="73"/>
      <c r="L11" s="37"/>
    </row>
    <row r="12" spans="1:15" x14ac:dyDescent="0.2">
      <c r="A12" s="22"/>
      <c r="B12" s="59"/>
      <c r="C12" s="59"/>
      <c r="D12" s="59"/>
      <c r="E12" s="59"/>
      <c r="F12" s="59"/>
      <c r="G12" s="59"/>
      <c r="H12" s="59"/>
      <c r="I12" s="144"/>
      <c r="J12" s="73"/>
      <c r="K12" s="73"/>
      <c r="L12" s="37"/>
    </row>
    <row r="13" spans="1:15" x14ac:dyDescent="0.2">
      <c r="A13" s="88"/>
      <c r="B13" s="88"/>
      <c r="C13" s="88"/>
      <c r="D13" s="88"/>
      <c r="E13" s="88"/>
      <c r="F13" s="74"/>
      <c r="G13" s="74"/>
      <c r="H13" s="74"/>
      <c r="I13" s="74"/>
      <c r="J13" s="74"/>
      <c r="K13" s="73"/>
      <c r="L13" s="37"/>
    </row>
    <row r="14" spans="1:15" x14ac:dyDescent="0.2">
      <c r="A14" s="88"/>
      <c r="B14" s="88"/>
      <c r="C14" s="88"/>
      <c r="D14" s="88"/>
      <c r="E14" s="88"/>
      <c r="F14" s="88"/>
      <c r="G14" s="88"/>
      <c r="H14" s="88"/>
      <c r="I14" s="74"/>
      <c r="J14" s="74"/>
      <c r="K14" s="59"/>
      <c r="L14" s="37"/>
    </row>
    <row r="15" spans="1:15" x14ac:dyDescent="0.2">
      <c r="A15" s="88"/>
      <c r="B15" s="88"/>
      <c r="C15" s="88"/>
      <c r="D15" s="88"/>
      <c r="E15" s="88"/>
      <c r="F15" s="88"/>
      <c r="G15" s="88"/>
      <c r="H15" s="88"/>
      <c r="I15" s="74"/>
      <c r="J15" s="74"/>
      <c r="K15" s="59"/>
      <c r="L15" s="37"/>
    </row>
    <row r="16" spans="1:15" x14ac:dyDescent="0.2">
      <c r="A16" s="3"/>
      <c r="B16" s="3"/>
      <c r="C16" s="3"/>
      <c r="D16" s="3"/>
      <c r="E16" s="3"/>
      <c r="F16" s="3"/>
      <c r="G16" s="3"/>
      <c r="H16" s="3"/>
      <c r="I16" s="3"/>
      <c r="J16" s="3"/>
      <c r="K16" s="59"/>
      <c r="L16" s="116"/>
    </row>
    <row r="17" spans="1:12" x14ac:dyDescent="0.2">
      <c r="A17" s="78"/>
      <c r="B17" s="125"/>
      <c r="C17" s="125"/>
      <c r="D17" s="56"/>
      <c r="E17" s="24"/>
      <c r="F17" s="10"/>
      <c r="G17" s="10"/>
      <c r="H17" s="10"/>
      <c r="I17" s="10"/>
      <c r="J17" s="10"/>
      <c r="K17" s="59"/>
      <c r="L17" s="116"/>
    </row>
    <row r="18" spans="1:12" x14ac:dyDescent="0.2">
      <c r="A18" s="11"/>
      <c r="B18" s="125"/>
      <c r="C18" s="125"/>
      <c r="D18" s="56"/>
      <c r="E18" s="24"/>
      <c r="F18" s="10"/>
      <c r="G18" s="10"/>
      <c r="H18" s="10"/>
      <c r="I18" s="10"/>
      <c r="J18" s="10"/>
      <c r="K18" s="59"/>
      <c r="L18" s="116"/>
    </row>
    <row r="19" spans="1:12" x14ac:dyDescent="0.2">
      <c r="A19" s="11"/>
      <c r="B19" s="125"/>
      <c r="C19" s="125"/>
      <c r="D19" s="56"/>
      <c r="E19" s="24"/>
      <c r="F19" s="10"/>
      <c r="G19" s="10"/>
      <c r="H19" s="10"/>
      <c r="I19" s="10"/>
      <c r="J19" s="10"/>
      <c r="K19" s="59"/>
      <c r="L19" s="3"/>
    </row>
    <row r="20" spans="1:12" x14ac:dyDescent="0.2">
      <c r="A20" s="11"/>
      <c r="B20" s="125"/>
      <c r="C20" s="125"/>
      <c r="D20" s="56"/>
      <c r="E20" s="24"/>
      <c r="F20" s="10"/>
      <c r="G20" s="10"/>
      <c r="H20" s="10"/>
      <c r="I20" s="10"/>
      <c r="J20" s="10"/>
      <c r="K20" s="59"/>
      <c r="L20" s="53"/>
    </row>
    <row r="21" spans="1:12" x14ac:dyDescent="0.2">
      <c r="A21" s="11"/>
      <c r="B21" s="125"/>
      <c r="C21" s="125"/>
      <c r="D21" s="56"/>
      <c r="E21" s="24"/>
      <c r="F21" s="10"/>
      <c r="G21" s="10"/>
      <c r="H21" s="10"/>
      <c r="I21" s="10"/>
      <c r="J21" s="10"/>
      <c r="K21" s="59"/>
      <c r="L21" s="53"/>
    </row>
    <row r="22" spans="1:12" x14ac:dyDescent="0.2">
      <c r="A22" s="11"/>
      <c r="B22" s="125"/>
      <c r="C22" s="125"/>
      <c r="D22" s="56"/>
      <c r="E22" s="24"/>
      <c r="F22" s="10"/>
      <c r="G22" s="10"/>
      <c r="H22" s="10"/>
      <c r="I22" s="10"/>
      <c r="J22" s="10"/>
      <c r="K22" s="59"/>
      <c r="L22" s="53"/>
    </row>
    <row r="23" spans="1:12" x14ac:dyDescent="0.2">
      <c r="A23" s="127"/>
      <c r="B23" s="125"/>
      <c r="C23" s="125"/>
      <c r="D23" s="56"/>
      <c r="E23" s="24"/>
      <c r="F23" s="10"/>
      <c r="G23" s="10"/>
      <c r="H23" s="10"/>
      <c r="I23" s="10"/>
      <c r="J23" s="10"/>
      <c r="K23" s="59"/>
      <c r="L23" s="53"/>
    </row>
    <row r="24" spans="1:12" x14ac:dyDescent="0.2">
      <c r="A24" s="127"/>
      <c r="B24" s="125"/>
      <c r="C24" s="125"/>
      <c r="D24" s="56"/>
      <c r="E24" s="24"/>
      <c r="F24" s="10"/>
      <c r="G24" s="10"/>
      <c r="H24" s="10"/>
      <c r="I24" s="10"/>
      <c r="J24" s="10"/>
      <c r="K24" s="59"/>
      <c r="L24" s="53"/>
    </row>
    <row r="25" spans="1:12" x14ac:dyDescent="0.2">
      <c r="A25" s="127"/>
      <c r="B25" s="125"/>
      <c r="C25" s="125"/>
      <c r="D25" s="56"/>
      <c r="E25" s="24"/>
      <c r="F25" s="10"/>
      <c r="G25" s="10"/>
      <c r="H25" s="10"/>
      <c r="I25" s="10"/>
      <c r="J25" s="10"/>
      <c r="K25" s="59"/>
      <c r="L25" s="53"/>
    </row>
    <row r="26" spans="1:12" x14ac:dyDescent="0.2">
      <c r="A26" s="127"/>
      <c r="B26" s="125"/>
      <c r="C26" s="125"/>
      <c r="D26" s="56"/>
      <c r="E26" s="24"/>
      <c r="F26" s="10"/>
      <c r="G26" s="10"/>
      <c r="H26" s="10"/>
      <c r="I26" s="10"/>
      <c r="J26" s="10"/>
      <c r="K26" s="59"/>
      <c r="L26" s="53"/>
    </row>
    <row r="27" spans="1:12" x14ac:dyDescent="0.2">
      <c r="A27" s="127"/>
      <c r="B27" s="125"/>
      <c r="C27" s="125"/>
      <c r="D27" s="56"/>
      <c r="E27" s="24"/>
      <c r="F27" s="10"/>
      <c r="G27" s="10"/>
      <c r="H27" s="10"/>
      <c r="I27" s="10"/>
      <c r="J27" s="10"/>
      <c r="K27" s="59"/>
      <c r="L27" s="53"/>
    </row>
    <row r="28" spans="1:12" x14ac:dyDescent="0.2">
      <c r="A28" s="26"/>
      <c r="B28" s="125"/>
      <c r="C28" s="125"/>
      <c r="D28" s="56"/>
      <c r="E28" s="24"/>
      <c r="F28" s="10"/>
      <c r="G28" s="10"/>
      <c r="H28" s="10"/>
      <c r="I28" s="10"/>
      <c r="J28" s="10"/>
      <c r="K28" s="59"/>
      <c r="L28" s="53"/>
    </row>
    <row r="29" spans="1:12" x14ac:dyDescent="0.2">
      <c r="A29" s="26"/>
      <c r="B29" s="125"/>
      <c r="C29" s="125"/>
      <c r="D29" s="56"/>
      <c r="E29" s="24"/>
      <c r="F29" s="10"/>
      <c r="G29" s="10"/>
      <c r="H29" s="10"/>
      <c r="I29" s="10"/>
      <c r="J29" s="10"/>
      <c r="K29" s="59"/>
      <c r="L29" s="53"/>
    </row>
    <row r="30" spans="1:12" x14ac:dyDescent="0.2">
      <c r="A30" s="26"/>
      <c r="B30" s="125"/>
      <c r="C30" s="125"/>
      <c r="D30" s="56"/>
      <c r="E30" s="24"/>
      <c r="F30" s="10"/>
      <c r="G30" s="10"/>
      <c r="H30" s="10"/>
      <c r="I30" s="10"/>
      <c r="J30" s="10"/>
      <c r="K30" s="59"/>
      <c r="L30" s="53"/>
    </row>
    <row r="31" spans="1:12" x14ac:dyDescent="0.2">
      <c r="A31" s="26"/>
      <c r="B31" s="125"/>
      <c r="C31" s="125"/>
      <c r="D31" s="56"/>
      <c r="E31" s="24"/>
      <c r="F31" s="10"/>
      <c r="G31" s="10"/>
      <c r="H31" s="10"/>
      <c r="I31" s="10"/>
      <c r="J31" s="10"/>
      <c r="K31" s="59"/>
      <c r="L31" s="53"/>
    </row>
    <row r="32" spans="1:12" x14ac:dyDescent="0.2">
      <c r="A32" s="26"/>
      <c r="B32" s="125"/>
      <c r="C32" s="125"/>
      <c r="D32" s="56"/>
      <c r="E32" s="24"/>
      <c r="F32" s="10"/>
      <c r="G32" s="10"/>
      <c r="H32" s="10"/>
      <c r="I32" s="10"/>
      <c r="J32" s="10"/>
      <c r="K32" s="59"/>
      <c r="L32" s="53"/>
    </row>
    <row r="33" spans="1:13" x14ac:dyDescent="0.2">
      <c r="A33" s="86"/>
      <c r="B33" s="125"/>
      <c r="C33" s="125"/>
      <c r="D33" s="56"/>
      <c r="E33" s="24"/>
      <c r="F33" s="10"/>
      <c r="G33" s="10"/>
      <c r="H33" s="10"/>
      <c r="I33" s="10"/>
      <c r="J33" s="10"/>
      <c r="K33" s="59"/>
      <c r="L33" s="53"/>
    </row>
    <row r="34" spans="1:13" x14ac:dyDescent="0.2">
      <c r="A34" s="86"/>
      <c r="B34" s="125"/>
      <c r="C34" s="125"/>
      <c r="D34" s="56"/>
      <c r="E34" s="24"/>
      <c r="F34" s="10"/>
      <c r="G34" s="10"/>
      <c r="H34" s="10"/>
      <c r="I34" s="10"/>
      <c r="J34" s="10"/>
      <c r="K34" s="59"/>
      <c r="L34" s="53"/>
    </row>
    <row r="35" spans="1:13" x14ac:dyDescent="0.2">
      <c r="A35" s="86"/>
      <c r="B35" s="125"/>
      <c r="C35" s="125"/>
      <c r="D35" s="56"/>
      <c r="E35" s="24"/>
      <c r="F35" s="10"/>
      <c r="G35" s="10"/>
      <c r="H35" s="10"/>
      <c r="I35" s="10"/>
      <c r="J35" s="10"/>
      <c r="K35" s="59"/>
      <c r="L35" s="53"/>
    </row>
    <row r="36" spans="1:13" x14ac:dyDescent="0.2">
      <c r="A36" s="86"/>
      <c r="B36" s="125"/>
      <c r="C36" s="125"/>
      <c r="D36" s="56"/>
      <c r="E36" s="24"/>
      <c r="F36" s="10"/>
      <c r="G36" s="10"/>
      <c r="H36" s="10"/>
      <c r="I36" s="10"/>
      <c r="J36" s="10"/>
      <c r="K36" s="59"/>
      <c r="L36" s="53"/>
    </row>
    <row r="37" spans="1:13" x14ac:dyDescent="0.2">
      <c r="A37" s="86"/>
      <c r="B37" s="125"/>
      <c r="C37" s="125"/>
      <c r="D37" s="56"/>
      <c r="E37" s="24"/>
      <c r="F37" s="10"/>
      <c r="G37" s="10"/>
      <c r="H37" s="10"/>
      <c r="I37" s="10"/>
      <c r="J37" s="10"/>
      <c r="K37"/>
      <c r="L37"/>
      <c r="M37"/>
    </row>
    <row r="38" spans="1:13" x14ac:dyDescent="0.2">
      <c r="A38" s="86"/>
      <c r="B38" s="125"/>
      <c r="C38" s="125"/>
      <c r="D38" s="56"/>
      <c r="E38" s="24"/>
      <c r="F38" s="10"/>
      <c r="G38" s="10"/>
      <c r="H38" s="10"/>
      <c r="I38" s="10"/>
      <c r="J38" s="10"/>
      <c r="K38"/>
      <c r="L38"/>
      <c r="M38"/>
    </row>
    <row r="39" spans="1:13" x14ac:dyDescent="0.2">
      <c r="A39" s="86"/>
      <c r="B39" s="125"/>
      <c r="C39" s="125"/>
      <c r="D39" s="56"/>
      <c r="E39" s="24"/>
      <c r="F39" s="10"/>
      <c r="G39" s="10"/>
      <c r="H39" s="10"/>
      <c r="I39" s="10"/>
      <c r="J39" s="10"/>
      <c r="K39"/>
      <c r="L39"/>
      <c r="M39"/>
    </row>
    <row r="40" spans="1:13" x14ac:dyDescent="0.2">
      <c r="A40" s="86"/>
      <c r="B40" s="125"/>
      <c r="C40" s="125"/>
      <c r="D40" s="56"/>
      <c r="E40" s="24"/>
      <c r="F40" s="10"/>
      <c r="G40" s="10"/>
      <c r="H40" s="10"/>
      <c r="I40" s="10"/>
      <c r="J40" s="10"/>
      <c r="K40"/>
      <c r="L40"/>
      <c r="M40"/>
    </row>
    <row r="41" spans="1:13" x14ac:dyDescent="0.2">
      <c r="A41" s="86"/>
      <c r="B41" s="125"/>
      <c r="C41" s="125"/>
      <c r="D41" s="56"/>
      <c r="E41" s="24"/>
      <c r="F41" s="10"/>
      <c r="G41" s="10"/>
      <c r="H41" s="10"/>
      <c r="I41" s="10"/>
      <c r="J41" s="10"/>
      <c r="K41"/>
      <c r="L41"/>
      <c r="M41"/>
    </row>
    <row r="42" spans="1:13" x14ac:dyDescent="0.2">
      <c r="A42" s="86"/>
      <c r="B42" s="125"/>
      <c r="C42" s="125"/>
      <c r="D42" s="56"/>
      <c r="E42" s="24"/>
      <c r="F42" s="10"/>
      <c r="G42" s="10"/>
      <c r="H42" s="10"/>
      <c r="I42" s="10"/>
      <c r="J42" s="10"/>
      <c r="K42" s="59"/>
      <c r="L42" s="53"/>
    </row>
    <row r="43" spans="1:13" x14ac:dyDescent="0.2">
      <c r="A43" s="65"/>
      <c r="B43" s="65"/>
      <c r="C43" s="65"/>
      <c r="D43" s="65"/>
      <c r="E43" s="65"/>
      <c r="F43" s="65"/>
      <c r="G43" s="65"/>
      <c r="H43" s="65"/>
      <c r="I43" s="65"/>
      <c r="J43" s="65"/>
    </row>
    <row r="44" spans="1:13" x14ac:dyDescent="0.2">
      <c r="A44" s="65"/>
      <c r="B44" s="65"/>
      <c r="C44" s="65"/>
      <c r="D44" s="65"/>
      <c r="E44" s="65"/>
      <c r="F44" s="65"/>
      <c r="G44" s="65"/>
      <c r="H44" s="65"/>
      <c r="I44" s="65"/>
      <c r="J44" s="65"/>
    </row>
    <row r="45" spans="1:13" x14ac:dyDescent="0.2">
      <c r="A45" s="65"/>
      <c r="B45" s="65"/>
      <c r="C45" s="65"/>
      <c r="D45" s="65"/>
      <c r="E45" s="65"/>
      <c r="F45" s="65"/>
      <c r="G45" s="65"/>
      <c r="H45" s="65"/>
      <c r="I45" s="65"/>
      <c r="J45" s="65"/>
    </row>
    <row r="46" spans="1:13" x14ac:dyDescent="0.2">
      <c r="A46" s="65"/>
      <c r="B46" s="65"/>
      <c r="C46" s="65"/>
      <c r="D46" s="65"/>
      <c r="E46" s="65"/>
      <c r="F46" s="65"/>
      <c r="G46" s="65"/>
      <c r="H46" s="65"/>
      <c r="I46" s="65"/>
      <c r="J46" s="65"/>
    </row>
    <row r="47" spans="1:13" x14ac:dyDescent="0.2">
      <c r="A47" s="65"/>
      <c r="B47" s="65"/>
      <c r="C47" s="65"/>
      <c r="D47" s="65"/>
      <c r="E47" s="65"/>
      <c r="F47" s="65"/>
      <c r="G47" s="65"/>
    </row>
    <row r="48" spans="1:13" x14ac:dyDescent="0.2">
      <c r="A48" s="65"/>
      <c r="B48" s="65"/>
      <c r="C48" s="65"/>
      <c r="D48" s="65"/>
      <c r="E48" s="65"/>
      <c r="F48" s="65"/>
      <c r="G48" s="65"/>
    </row>
    <row r="55" spans="10:12" x14ac:dyDescent="0.2">
      <c r="J55"/>
      <c r="K55"/>
      <c r="L55"/>
    </row>
    <row r="56" spans="10:12" x14ac:dyDescent="0.2">
      <c r="J56"/>
      <c r="K56"/>
      <c r="L56"/>
    </row>
    <row r="57" spans="10:12" x14ac:dyDescent="0.2">
      <c r="J57"/>
      <c r="K57"/>
      <c r="L57"/>
    </row>
    <row r="58" spans="10:12" x14ac:dyDescent="0.2">
      <c r="J58"/>
      <c r="K58"/>
      <c r="L58"/>
    </row>
    <row r="59" spans="10:12" x14ac:dyDescent="0.2">
      <c r="J59"/>
      <c r="K59"/>
      <c r="L59"/>
    </row>
  </sheetData>
  <mergeCells count="1">
    <mergeCell ref="C1:M1"/>
  </mergeCells>
  <printOptions horizontalCentered="1"/>
  <pageMargins left="0.5" right="0.5" top="0.5" bottom="0.5" header="0" footer="0"/>
  <pageSetup scale="74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/>
  <dimension ref="A1:AV190"/>
  <sheetViews>
    <sheetView showGridLines="0" workbookViewId="0">
      <pane xSplit="2" ySplit="16" topLeftCell="C17" activePane="bottomRight" state="frozen"/>
      <selection pane="topRight" activeCell="C1" sqref="C1"/>
      <selection pane="bottomLeft" activeCell="A17" sqref="A17"/>
      <selection pane="bottomRight" activeCell="A11" sqref="A11"/>
    </sheetView>
  </sheetViews>
  <sheetFormatPr defaultColWidth="8.85546875" defaultRowHeight="12.75" x14ac:dyDescent="0.2"/>
  <cols>
    <col min="1" max="2" width="8.85546875" style="44"/>
    <col min="3" max="3" width="11.140625" style="44" customWidth="1"/>
    <col min="4" max="4" width="16.28515625" style="44" customWidth="1"/>
    <col min="5" max="8" width="10.85546875" style="44" customWidth="1"/>
    <col min="9" max="9" width="11.140625" style="44" customWidth="1"/>
    <col min="10" max="10" width="11.85546875" style="44" customWidth="1"/>
    <col min="11" max="11" width="9.85546875" style="44" bestFit="1" customWidth="1"/>
    <col min="12" max="12" width="10.5703125" style="44" customWidth="1"/>
    <col min="13" max="14" width="10.5703125" style="44" bestFit="1" customWidth="1"/>
    <col min="15" max="15" width="8.85546875" style="44" customWidth="1"/>
    <col min="16" max="16" width="10.5703125" style="44" bestFit="1" customWidth="1"/>
    <col min="17" max="17" width="9.5703125" style="44" customWidth="1"/>
    <col min="18" max="18" width="8.85546875" style="44" customWidth="1"/>
    <col min="19" max="19" width="10.85546875" style="44" customWidth="1"/>
    <col min="20" max="20" width="11.140625" style="44" customWidth="1"/>
    <col min="21" max="21" width="9.28515625" style="44" customWidth="1"/>
    <col min="22" max="22" width="10.7109375" style="44" customWidth="1"/>
    <col min="23" max="23" width="10.5703125" style="44" customWidth="1"/>
    <col min="24" max="24" width="11" style="44" customWidth="1"/>
    <col min="25" max="25" width="9.140625"/>
    <col min="26" max="26" width="13" style="44" customWidth="1"/>
    <col min="27" max="28" width="8.85546875" style="44"/>
    <col min="29" max="29" width="12.140625" style="44" bestFit="1" customWidth="1"/>
    <col min="30" max="39" width="8.85546875" style="44"/>
    <col min="40" max="40" width="15.85546875" style="44" customWidth="1"/>
    <col min="41" max="43" width="8.85546875" style="44"/>
    <col min="44" max="48" width="8.85546875" style="65"/>
    <col min="49" max="16384" width="8.85546875" style="44"/>
  </cols>
  <sheetData>
    <row r="1" spans="1:48" x14ac:dyDescent="0.2">
      <c r="P1" s="7"/>
      <c r="Q1" s="7"/>
      <c r="Z1" s="133" t="s">
        <v>51</v>
      </c>
      <c r="AA1" s="12"/>
      <c r="AB1" s="12"/>
      <c r="AC1" s="28"/>
      <c r="AD1" s="28"/>
    </row>
    <row r="2" spans="1:48" x14ac:dyDescent="0.2">
      <c r="Z2" s="106"/>
      <c r="AA2" s="112"/>
      <c r="AB2" s="119" t="s">
        <v>67</v>
      </c>
      <c r="AC2" s="119" t="s">
        <v>52</v>
      </c>
      <c r="AD2" s="131" t="s">
        <v>0</v>
      </c>
      <c r="AE2" s="77" t="s">
        <v>29</v>
      </c>
    </row>
    <row r="3" spans="1:48" x14ac:dyDescent="0.2">
      <c r="P3" s="145"/>
      <c r="Q3" s="145"/>
      <c r="Z3" s="137" t="s">
        <v>83</v>
      </c>
      <c r="AA3" s="3"/>
      <c r="AB3" s="91">
        <v>130</v>
      </c>
      <c r="AC3" s="116"/>
      <c r="AD3" s="4"/>
      <c r="AE3" s="138"/>
    </row>
    <row r="4" spans="1:48" x14ac:dyDescent="0.2">
      <c r="Z4" s="137" t="s">
        <v>22</v>
      </c>
      <c r="AA4" s="3"/>
      <c r="AB4" s="91">
        <v>485</v>
      </c>
      <c r="AC4" s="116"/>
      <c r="AD4" s="4"/>
      <c r="AE4" s="138"/>
      <c r="AN4" s="169" t="s">
        <v>31</v>
      </c>
      <c r="AO4" s="170"/>
      <c r="AP4" s="171"/>
      <c r="AR4" s="168"/>
      <c r="AS4" s="168"/>
      <c r="AT4" s="168"/>
    </row>
    <row r="5" spans="1:48" ht="15.75" x14ac:dyDescent="0.25">
      <c r="A5" s="161" t="s">
        <v>11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2"/>
      <c r="R5" s="73"/>
      <c r="S5" s="73"/>
      <c r="T5" s="73"/>
      <c r="U5" s="73"/>
      <c r="V5" s="73"/>
      <c r="W5" s="73"/>
      <c r="X5" s="73"/>
      <c r="Z5" s="137" t="s">
        <v>32</v>
      </c>
      <c r="AA5" s="3"/>
      <c r="AB5" s="116"/>
      <c r="AC5" s="9">
        <v>0</v>
      </c>
      <c r="AD5" s="9">
        <v>0</v>
      </c>
      <c r="AE5" s="120">
        <v>30</v>
      </c>
      <c r="AN5" s="8" t="s">
        <v>45</v>
      </c>
      <c r="AO5" s="8" t="s">
        <v>34</v>
      </c>
      <c r="AP5" s="8" t="s">
        <v>56</v>
      </c>
      <c r="AR5" s="158"/>
      <c r="AS5" s="158"/>
      <c r="AT5" s="158"/>
    </row>
    <row r="6" spans="1:48" x14ac:dyDescent="0.2">
      <c r="A6" s="59"/>
      <c r="B6" s="73"/>
      <c r="C6" s="73"/>
      <c r="D6" s="59"/>
      <c r="E6" s="59"/>
      <c r="F6" s="59"/>
      <c r="G6" s="59"/>
      <c r="H6" s="59"/>
      <c r="I6" s="59"/>
      <c r="J6" s="59"/>
      <c r="K6" s="73"/>
      <c r="L6" s="73"/>
      <c r="M6" s="73"/>
      <c r="N6" s="59"/>
      <c r="O6" s="73"/>
      <c r="P6" s="73"/>
      <c r="Q6" s="73"/>
      <c r="R6" s="73"/>
      <c r="S6" s="73"/>
      <c r="T6" s="73"/>
      <c r="U6" s="73"/>
      <c r="V6" s="73"/>
      <c r="W6" s="73"/>
      <c r="X6" s="73"/>
      <c r="Z6" s="137" t="s">
        <v>30</v>
      </c>
      <c r="AA6" s="3"/>
      <c r="AB6" s="116"/>
      <c r="AC6" s="27">
        <v>70</v>
      </c>
      <c r="AD6" s="91">
        <v>24</v>
      </c>
      <c r="AE6" s="46">
        <v>35</v>
      </c>
      <c r="AN6" s="50" t="s">
        <v>47</v>
      </c>
      <c r="AO6" s="50" t="s">
        <v>26</v>
      </c>
      <c r="AP6" s="50" t="s">
        <v>26</v>
      </c>
      <c r="AR6" s="158"/>
      <c r="AS6" s="158"/>
      <c r="AT6" s="158"/>
    </row>
    <row r="7" spans="1:48" ht="12.4" customHeight="1" x14ac:dyDescent="0.2">
      <c r="A7" s="122" t="s">
        <v>93</v>
      </c>
      <c r="B7" s="59"/>
      <c r="C7" s="59"/>
      <c r="D7" s="73"/>
      <c r="E7" s="73"/>
      <c r="F7" s="73"/>
      <c r="G7" s="73"/>
      <c r="H7" s="73"/>
      <c r="I7" s="73"/>
      <c r="J7" s="73"/>
      <c r="K7" s="59"/>
      <c r="L7" s="44" t="s">
        <v>41</v>
      </c>
      <c r="P7" s="19" t="s">
        <v>24</v>
      </c>
      <c r="Q7" s="19"/>
      <c r="R7" s="73"/>
      <c r="S7" s="73"/>
      <c r="T7" s="73"/>
      <c r="U7" s="73"/>
      <c r="V7" s="73"/>
      <c r="W7" s="73"/>
      <c r="X7" s="73"/>
      <c r="Z7" s="135" t="s">
        <v>25</v>
      </c>
      <c r="AA7" s="147"/>
      <c r="AB7" s="103"/>
      <c r="AC7" s="27">
        <v>0</v>
      </c>
      <c r="AD7" s="87"/>
      <c r="AE7" s="46">
        <v>30</v>
      </c>
      <c r="AN7" s="60" t="s">
        <v>82</v>
      </c>
      <c r="AO7" s="143">
        <v>1</v>
      </c>
      <c r="AP7" s="143">
        <f t="shared" ref="AP7:AP27" si="0">AO7-AO8</f>
        <v>3.8071065989853103E-4</v>
      </c>
      <c r="AR7" s="148" t="s">
        <v>82</v>
      </c>
      <c r="AS7" s="61"/>
      <c r="AT7" s="61"/>
      <c r="AU7" s="153"/>
      <c r="AV7" s="153"/>
    </row>
    <row r="8" spans="1:48" ht="12.4" customHeight="1" x14ac:dyDescent="0.2">
      <c r="A8" s="122" t="s">
        <v>94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44" t="s">
        <v>92</v>
      </c>
      <c r="P8" s="62">
        <v>6072.7</v>
      </c>
      <c r="Q8" s="81"/>
      <c r="R8" s="73"/>
      <c r="S8" s="73"/>
      <c r="T8" s="73"/>
      <c r="U8" s="73"/>
      <c r="V8" s="73"/>
      <c r="W8" s="73"/>
      <c r="X8" s="73"/>
      <c r="Z8" s="101" t="s">
        <v>81</v>
      </c>
      <c r="AA8" s="154"/>
      <c r="AB8" s="108"/>
      <c r="AC8" s="30">
        <v>50</v>
      </c>
      <c r="AD8" s="93"/>
      <c r="AE8" s="49">
        <v>25</v>
      </c>
      <c r="AN8" s="152">
        <f>E135</f>
        <v>1.6736473112876713E-3</v>
      </c>
      <c r="AO8" s="143">
        <f>B135</f>
        <v>0.99961928934010147</v>
      </c>
      <c r="AP8" s="143">
        <f t="shared" si="0"/>
        <v>3.8071065989853103E-4</v>
      </c>
      <c r="AR8" s="69">
        <v>1.8387307309880479E-3</v>
      </c>
      <c r="AS8" s="61"/>
      <c r="AT8" s="61"/>
      <c r="AU8" s="84"/>
      <c r="AV8" s="17"/>
    </row>
    <row r="9" spans="1:48" ht="12.4" customHeight="1" x14ac:dyDescent="0.2">
      <c r="A9" s="22" t="s">
        <v>95</v>
      </c>
      <c r="B9" s="59"/>
      <c r="C9" s="59"/>
      <c r="D9" s="59"/>
      <c r="E9" s="59"/>
      <c r="F9" s="59"/>
      <c r="G9" s="59"/>
      <c r="H9" s="59"/>
      <c r="I9" s="59"/>
      <c r="J9" s="59"/>
      <c r="K9" s="59"/>
      <c r="L9" s="13" t="s">
        <v>75</v>
      </c>
      <c r="N9" s="59"/>
      <c r="O9" s="59"/>
      <c r="P9" s="160">
        <f>MAX(V18:V136)</f>
        <v>0.96314080801338708</v>
      </c>
      <c r="Q9" s="58"/>
      <c r="R9" s="73"/>
      <c r="S9" s="73"/>
      <c r="T9" s="73"/>
      <c r="U9" s="73"/>
      <c r="V9" s="73"/>
      <c r="W9" s="73"/>
      <c r="X9" s="73"/>
      <c r="Z9" s="155" t="s">
        <v>10</v>
      </c>
      <c r="AA9" s="147"/>
      <c r="AB9" s="147"/>
      <c r="AC9" s="52">
        <f>ABS($AC$6*COS($AC$5*PI()/180))</f>
        <v>70</v>
      </c>
      <c r="AD9" s="52">
        <f>ABS($AD$6*COS($AD$5*PI()/180))</f>
        <v>24</v>
      </c>
      <c r="AE9" s="129">
        <f>ABS($AE$6*COS($AE$5*PI()/180))</f>
        <v>30.310889132455355</v>
      </c>
      <c r="AN9" s="152">
        <f>E133</f>
        <v>2.0022955203437853E-3</v>
      </c>
      <c r="AO9" s="143">
        <f>B133</f>
        <v>0.99923857868020294</v>
      </c>
      <c r="AP9" s="143">
        <f t="shared" si="0"/>
        <v>1.3451776649746061E-2</v>
      </c>
      <c r="AR9" s="69">
        <v>2.3796891258599209E-3</v>
      </c>
      <c r="AS9" s="61"/>
      <c r="AT9" s="61"/>
      <c r="AU9" s="84"/>
      <c r="AV9" s="17"/>
    </row>
    <row r="10" spans="1:48" ht="12.4" customHeight="1" x14ac:dyDescent="0.2">
      <c r="A10" s="117" t="s">
        <v>96</v>
      </c>
      <c r="B10" s="59"/>
      <c r="C10" s="59"/>
      <c r="D10" s="73"/>
      <c r="E10" s="73"/>
      <c r="F10" s="73"/>
      <c r="G10" s="73"/>
      <c r="H10" s="73"/>
      <c r="I10" s="73"/>
      <c r="J10" s="73"/>
      <c r="K10" s="59"/>
      <c r="L10" s="13" t="s">
        <v>53</v>
      </c>
      <c r="N10" s="59"/>
      <c r="O10" s="59"/>
      <c r="P10" s="67">
        <f>'Raw Data'!M10</f>
        <v>0.14440315037789067</v>
      </c>
      <c r="Q10" s="67"/>
      <c r="R10" s="73"/>
      <c r="S10" s="73"/>
      <c r="T10" s="73"/>
      <c r="U10" s="73"/>
      <c r="V10" s="73"/>
      <c r="W10" s="73"/>
      <c r="X10" s="73"/>
      <c r="Z10" s="114" t="s">
        <v>61</v>
      </c>
      <c r="AA10" s="154"/>
      <c r="AB10" s="154"/>
      <c r="AC10" s="54">
        <f>ABS($AC$8*COS($AC$7*PI()/180))</f>
        <v>50</v>
      </c>
      <c r="AD10" s="108"/>
      <c r="AE10" s="132">
        <f>ABS($AE$8*COS($AE$7*PI()/180))</f>
        <v>21.650635094610969</v>
      </c>
      <c r="AN10" s="152">
        <f>E125</f>
        <v>4.1111506791425712E-3</v>
      </c>
      <c r="AO10" s="143">
        <f>$B125</f>
        <v>0.98578680203045688</v>
      </c>
      <c r="AP10" s="143">
        <f t="shared" si="0"/>
        <v>1.8274111675127047E-2</v>
      </c>
      <c r="AR10" s="69">
        <v>4.918869133300207E-3</v>
      </c>
      <c r="AS10" s="61"/>
      <c r="AT10" s="61"/>
      <c r="AU10" s="84"/>
      <c r="AV10" s="17"/>
    </row>
    <row r="11" spans="1:48" ht="12.4" customHeight="1" x14ac:dyDescent="0.2">
      <c r="A11" s="117"/>
      <c r="B11" s="59"/>
      <c r="C11" s="59"/>
      <c r="D11" s="73"/>
      <c r="E11" s="73"/>
      <c r="F11" s="73"/>
      <c r="G11" s="73"/>
      <c r="H11" s="73"/>
      <c r="I11" s="73"/>
      <c r="J11" s="73"/>
      <c r="K11" s="59"/>
      <c r="L11" s="44" t="s">
        <v>23</v>
      </c>
      <c r="P11" s="99">
        <f>'Raw Data'!M11</f>
        <v>2.6737305569881857</v>
      </c>
      <c r="Q11" s="99"/>
      <c r="R11" s="73"/>
      <c r="V11" s="73"/>
      <c r="W11" s="73"/>
      <c r="X11" s="73"/>
      <c r="Z11" s="59"/>
      <c r="AA11" s="57" t="s">
        <v>48</v>
      </c>
      <c r="AB11" s="90"/>
      <c r="AC11" s="90"/>
      <c r="AD11" s="29"/>
      <c r="AN11" s="152">
        <f>E120</f>
        <v>6.4113563734750348E-3</v>
      </c>
      <c r="AO11" s="143">
        <f>$B120</f>
        <v>0.96751269035532983</v>
      </c>
      <c r="AP11" s="143">
        <f t="shared" si="0"/>
        <v>1.5989847715735972E-2</v>
      </c>
      <c r="AR11" s="69">
        <v>7.6659819593601552E-3</v>
      </c>
      <c r="AS11" s="61"/>
      <c r="AT11" s="61"/>
      <c r="AU11" s="84"/>
      <c r="AV11" s="17"/>
    </row>
    <row r="12" spans="1:48" ht="12.4" customHeight="1" x14ac:dyDescent="0.2">
      <c r="B12" s="59"/>
      <c r="C12" s="59"/>
      <c r="D12" s="64"/>
      <c r="E12" s="59"/>
      <c r="F12" s="59"/>
      <c r="G12" s="59"/>
      <c r="H12" s="59"/>
      <c r="I12" s="59"/>
      <c r="J12" s="59"/>
      <c r="K12" s="59"/>
      <c r="L12" s="59"/>
      <c r="M12" s="13"/>
      <c r="N12" s="59"/>
      <c r="O12" s="59"/>
      <c r="P12" s="136"/>
      <c r="Q12" s="136"/>
      <c r="R12" s="73"/>
      <c r="S12" s="73"/>
      <c r="T12" s="73"/>
      <c r="U12" s="73"/>
      <c r="V12" s="73"/>
      <c r="W12" s="73"/>
      <c r="X12" s="73"/>
      <c r="Z12" s="59"/>
      <c r="AA12" s="121" t="s">
        <v>72</v>
      </c>
      <c r="AB12" s="112"/>
      <c r="AC12" s="20">
        <v>0.433</v>
      </c>
      <c r="AD12" s="73"/>
      <c r="AN12" s="143">
        <f>E117</f>
        <v>8.4120244390241058E-3</v>
      </c>
      <c r="AO12" s="143">
        <f>$B117</f>
        <v>0.95152284263959386</v>
      </c>
      <c r="AP12" s="143">
        <f t="shared" si="0"/>
        <v>7.3286802030456788E-2</v>
      </c>
      <c r="AR12" s="61">
        <v>1.0017670706649362E-2</v>
      </c>
      <c r="AS12" s="61"/>
      <c r="AT12" s="61"/>
      <c r="AU12" s="84"/>
      <c r="AV12" s="17"/>
    </row>
    <row r="13" spans="1:48" ht="12.4" customHeight="1" x14ac:dyDescent="0.2">
      <c r="Z13" s="59"/>
      <c r="AA13" s="135" t="s">
        <v>14</v>
      </c>
      <c r="AB13" s="147"/>
      <c r="AC13" s="94">
        <v>0.34599999999999997</v>
      </c>
      <c r="AD13" s="59"/>
      <c r="AN13" s="143">
        <f>E107</f>
        <v>2.0659486436441714E-2</v>
      </c>
      <c r="AO13" s="143">
        <f>$B107</f>
        <v>0.87823604060913707</v>
      </c>
      <c r="AP13" s="143">
        <f t="shared" si="0"/>
        <v>7.4555837563451854E-2</v>
      </c>
      <c r="AR13" s="61">
        <v>2.4302503920103202E-2</v>
      </c>
      <c r="AS13" s="61"/>
      <c r="AT13" s="61"/>
      <c r="AU13" s="84"/>
      <c r="AV13" s="17"/>
    </row>
    <row r="14" spans="1:48" ht="12.4" customHeight="1" x14ac:dyDescent="0.2">
      <c r="A14" s="100" t="s">
        <v>85</v>
      </c>
      <c r="B14" s="100" t="s">
        <v>63</v>
      </c>
      <c r="C14" s="100" t="s">
        <v>46</v>
      </c>
      <c r="D14" s="109" t="s">
        <v>91</v>
      </c>
      <c r="E14" s="100" t="s">
        <v>89</v>
      </c>
      <c r="F14" s="100" t="s">
        <v>89</v>
      </c>
      <c r="G14" s="100" t="s">
        <v>13</v>
      </c>
      <c r="H14" s="100" t="s">
        <v>16</v>
      </c>
      <c r="I14" s="100" t="s">
        <v>68</v>
      </c>
      <c r="J14" s="100" t="s">
        <v>80</v>
      </c>
      <c r="K14" s="100"/>
      <c r="L14" s="96" t="s">
        <v>86</v>
      </c>
      <c r="M14" s="41"/>
      <c r="N14" s="111"/>
      <c r="O14" s="96" t="s">
        <v>17</v>
      </c>
      <c r="P14" s="111"/>
      <c r="Q14" s="111" t="s">
        <v>7</v>
      </c>
      <c r="R14" s="100" t="s">
        <v>63</v>
      </c>
      <c r="S14" s="100" t="s">
        <v>38</v>
      </c>
      <c r="T14" s="100" t="s">
        <v>59</v>
      </c>
      <c r="U14" s="100"/>
      <c r="V14" s="100" t="s">
        <v>28</v>
      </c>
      <c r="W14" s="100" t="s">
        <v>87</v>
      </c>
      <c r="X14" s="100" t="s">
        <v>87</v>
      </c>
      <c r="Z14" s="59"/>
      <c r="AA14" s="101" t="s">
        <v>12</v>
      </c>
      <c r="AB14" s="154"/>
      <c r="AC14" s="102">
        <v>0.1</v>
      </c>
      <c r="AD14" s="59"/>
      <c r="AN14" s="143">
        <f>E99</f>
        <v>4.2470001780195409E-2</v>
      </c>
      <c r="AO14" s="143">
        <f>$B99</f>
        <v>0.80368020304568522</v>
      </c>
      <c r="AP14" s="143">
        <f t="shared" si="0"/>
        <v>4.2068527918781795E-2</v>
      </c>
      <c r="AR14" s="61">
        <v>4.9484801750667114E-2</v>
      </c>
      <c r="AS14" s="61"/>
      <c r="AT14" s="61"/>
      <c r="AU14" s="84"/>
      <c r="AV14" s="17"/>
    </row>
    <row r="15" spans="1:48" ht="12.4" customHeight="1" x14ac:dyDescent="0.2">
      <c r="A15" s="70" t="s">
        <v>78</v>
      </c>
      <c r="B15" s="70" t="s">
        <v>5</v>
      </c>
      <c r="C15" s="70" t="s">
        <v>5</v>
      </c>
      <c r="D15" s="76" t="s">
        <v>70</v>
      </c>
      <c r="E15" s="70" t="s">
        <v>79</v>
      </c>
      <c r="F15" s="70" t="s">
        <v>54</v>
      </c>
      <c r="G15" s="70" t="s">
        <v>33</v>
      </c>
      <c r="H15" s="70" t="s">
        <v>33</v>
      </c>
      <c r="I15" s="70" t="s">
        <v>76</v>
      </c>
      <c r="J15" s="70" t="s">
        <v>76</v>
      </c>
      <c r="K15" s="70" t="s">
        <v>88</v>
      </c>
      <c r="L15" s="100" t="s">
        <v>74</v>
      </c>
      <c r="M15" s="100" t="s">
        <v>4</v>
      </c>
      <c r="N15" s="100" t="s">
        <v>42</v>
      </c>
      <c r="O15" s="124" t="s">
        <v>1</v>
      </c>
      <c r="P15" s="36"/>
      <c r="Q15" s="36" t="s">
        <v>8</v>
      </c>
      <c r="R15" s="70" t="s">
        <v>34</v>
      </c>
      <c r="S15" s="70" t="s">
        <v>44</v>
      </c>
      <c r="T15" s="70" t="s">
        <v>87</v>
      </c>
      <c r="U15" s="70" t="s">
        <v>28</v>
      </c>
      <c r="V15" s="70" t="s">
        <v>87</v>
      </c>
      <c r="W15" s="70" t="s">
        <v>43</v>
      </c>
      <c r="X15" s="70" t="s">
        <v>43</v>
      </c>
      <c r="Z15" s="73"/>
      <c r="AN15" s="143">
        <f>E95</f>
        <v>6.0731243272834495E-2</v>
      </c>
      <c r="AO15" s="143">
        <f>$B95</f>
        <v>0.76161167512690342</v>
      </c>
      <c r="AP15" s="143">
        <f t="shared" si="0"/>
        <v>4.7652284263959288E-2</v>
      </c>
      <c r="AR15" s="61">
        <v>7.1632047862346573E-2</v>
      </c>
      <c r="AS15" s="61"/>
      <c r="AT15" s="61"/>
      <c r="AU15" s="84"/>
      <c r="AV15" s="17"/>
    </row>
    <row r="16" spans="1:48" ht="12.4" customHeight="1" x14ac:dyDescent="0.2">
      <c r="A16" s="146" t="s">
        <v>49</v>
      </c>
      <c r="B16" s="146" t="s">
        <v>26</v>
      </c>
      <c r="C16" s="146" t="s">
        <v>26</v>
      </c>
      <c r="D16" s="156" t="s">
        <v>26</v>
      </c>
      <c r="E16" s="146" t="s">
        <v>55</v>
      </c>
      <c r="F16" s="146" t="s">
        <v>64</v>
      </c>
      <c r="G16" s="146" t="s">
        <v>60</v>
      </c>
      <c r="H16" s="146" t="s">
        <v>60</v>
      </c>
      <c r="I16" s="146" t="s">
        <v>55</v>
      </c>
      <c r="J16" s="146" t="s">
        <v>55</v>
      </c>
      <c r="K16" s="146" t="s">
        <v>69</v>
      </c>
      <c r="L16" s="146" t="s">
        <v>49</v>
      </c>
      <c r="M16" s="146" t="s">
        <v>49</v>
      </c>
      <c r="N16" s="146" t="s">
        <v>49</v>
      </c>
      <c r="O16" s="16" t="s">
        <v>66</v>
      </c>
      <c r="P16" s="16" t="s">
        <v>35</v>
      </c>
      <c r="Q16" s="146" t="s">
        <v>71</v>
      </c>
      <c r="R16" s="146" t="s">
        <v>21</v>
      </c>
      <c r="S16" s="146" t="s">
        <v>20</v>
      </c>
      <c r="T16" s="146"/>
      <c r="U16" s="146"/>
      <c r="V16" s="31"/>
      <c r="W16" s="156" t="s">
        <v>6</v>
      </c>
      <c r="X16" s="156" t="s">
        <v>90</v>
      </c>
      <c r="Z16" s="13" t="s">
        <v>73</v>
      </c>
      <c r="AA16" s="73"/>
      <c r="AB16" s="73"/>
      <c r="AC16" s="35">
        <f>ABS(Table!$AB$4*COS(Table!$AB$3*PI()/180))</f>
        <v>311.75199069797156</v>
      </c>
      <c r="AN16" s="143">
        <f>E91</f>
        <v>8.7318737828864526E-2</v>
      </c>
      <c r="AO16" s="143">
        <f>$B91</f>
        <v>0.71395939086294413</v>
      </c>
      <c r="AP16" s="143">
        <f t="shared" si="0"/>
        <v>0.1423857868020304</v>
      </c>
      <c r="AR16" s="61">
        <v>9.9921582517046942E-2</v>
      </c>
      <c r="AS16" s="61"/>
      <c r="AT16" s="61"/>
      <c r="AU16" s="84"/>
      <c r="AV16" s="17"/>
    </row>
    <row r="17" spans="1:48" ht="12.4" customHeight="1" x14ac:dyDescent="0.2">
      <c r="A17" s="1"/>
      <c r="B17" s="42"/>
      <c r="C17" s="73"/>
      <c r="D17" s="82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73"/>
      <c r="Q17" s="73"/>
      <c r="R17" s="59"/>
      <c r="S17" s="59"/>
      <c r="T17" s="59"/>
      <c r="U17" s="59"/>
      <c r="V17" s="59"/>
      <c r="W17" s="59"/>
      <c r="X17" s="59"/>
      <c r="AC17" s="149">
        <f ca="1">FORECAST(200,OFFSET(L$17,MATCH(200,L$18:L136, 1),-9,2,1),OFFSET(L$17,MATCH(200,L$18:L136, 1),0,2,1))</f>
        <v>0.30995660539095282</v>
      </c>
      <c r="AN17" s="143">
        <f>E81</f>
        <v>0.21366741444796339</v>
      </c>
      <c r="AO17" s="143">
        <f>$B81</f>
        <v>0.57157360406091373</v>
      </c>
      <c r="AP17" s="143">
        <f t="shared" si="0"/>
        <v>0.16814720812182743</v>
      </c>
      <c r="AR17" s="61">
        <v>0.25452110435346964</v>
      </c>
      <c r="AS17" s="61"/>
      <c r="AT17" s="61"/>
      <c r="AU17" s="84"/>
      <c r="AV17" s="17"/>
    </row>
    <row r="18" spans="1:48" ht="12.4" customHeight="1" x14ac:dyDescent="0.2">
      <c r="A18" s="1">
        <v>1.5079505443572998</v>
      </c>
      <c r="B18" s="42">
        <v>0</v>
      </c>
      <c r="C18" s="42">
        <f t="shared" ref="C18:C136" si="1">1-B18</f>
        <v>1</v>
      </c>
      <c r="D18" s="72">
        <f t="shared" ref="D18:D136" si="2">B18-B17</f>
        <v>0</v>
      </c>
      <c r="E18" s="126">
        <f>(2*Table!$AC$16*0.147)/A18</f>
        <v>60.781227612652074</v>
      </c>
      <c r="F18" s="126">
        <f t="shared" ref="F18:F136" si="3">E18*2</f>
        <v>121.56245522530415</v>
      </c>
      <c r="G18" s="1">
        <f>IF((('Raw Data'!C18)/('Raw Data'!C$136)*100)&lt;0,0,('Raw Data'!C18)/('Raw Data'!C$136)*100)</f>
        <v>0</v>
      </c>
      <c r="H18" s="1">
        <f t="shared" ref="H18:H136" si="4">G18-G17</f>
        <v>0</v>
      </c>
      <c r="I18" s="83">
        <f t="shared" ref="I18:I136" si="5">IF(E17&gt;0,LOG(E17)-LOG(E18), LOG(E18))</f>
        <v>1.7837694673796043</v>
      </c>
      <c r="J18" s="126">
        <f>'Raw Data'!F18/I18</f>
        <v>0</v>
      </c>
      <c r="K18" s="123">
        <f t="shared" ref="K18:K136" si="6">(0.2166095*A18*(SQRT(P$9/P$10)))/(485*-COS(RADIANS(130)))</f>
        <v>2.7059011107954563E-3</v>
      </c>
      <c r="L18" s="1">
        <f>A18*Table!$AC$9/$AC$16</f>
        <v>0.33859138435229819</v>
      </c>
      <c r="M18" s="1">
        <f>A18*Table!$AD$9/$AC$16</f>
        <v>0.11608847463507367</v>
      </c>
      <c r="N18" s="1">
        <f>ABS(A18*Table!$AE$9/$AC$16)</f>
        <v>0.14661437017581555</v>
      </c>
      <c r="O18" s="1">
        <f>($L18*(Table!$AC$10/Table!$AC$9)/(Table!$AC$12-Table!$AC$14))</f>
        <v>0.72627924571492541</v>
      </c>
      <c r="P18" s="1">
        <f>ROUND(($N18*(Table!$AE$10/Table!$AE$9)/(Table!$AC$12-Table!$AC$13)),2)</f>
        <v>1.2</v>
      </c>
      <c r="Q18" s="1">
        <f>'Raw Data'!C18</f>
        <v>0</v>
      </c>
      <c r="R18" s="1">
        <f>'Raw Data'!C18/'Raw Data'!I$30*100</f>
        <v>0</v>
      </c>
      <c r="S18" s="128">
        <f t="shared" ref="S18:S136" si="7">D18/MAX($D$18:$D$136)</f>
        <v>0</v>
      </c>
      <c r="T18" s="128">
        <f t="shared" ref="T18:T136" si="8">1-(X18/$X$136)</f>
        <v>1</v>
      </c>
      <c r="U18" s="5">
        <f t="shared" ref="U18:U136" si="9">R18/A18</f>
        <v>0</v>
      </c>
      <c r="V18" s="5">
        <f t="shared" ref="V18:V136" si="10">(U18^1.691)*399</f>
        <v>0</v>
      </c>
      <c r="W18" s="5">
        <f t="shared" ref="W18:W136" si="11">((E18*E18)/8)*S18</f>
        <v>0</v>
      </c>
      <c r="X18" s="104">
        <f t="shared" ref="X18:X136" si="12">W18+X17</f>
        <v>0</v>
      </c>
      <c r="Z18" s="134"/>
      <c r="AA18" s="73"/>
      <c r="AB18" s="73"/>
      <c r="AC18" s="51"/>
      <c r="AN18" s="143">
        <f>E73</f>
        <v>0.44178883451363099</v>
      </c>
      <c r="AO18" s="143">
        <f>$B73</f>
        <v>0.4034263959390863</v>
      </c>
      <c r="AP18" s="143">
        <f t="shared" si="0"/>
        <v>0.30063451776649747</v>
      </c>
      <c r="AR18" s="61">
        <v>0.47874420207019219</v>
      </c>
      <c r="AS18" s="61"/>
      <c r="AT18" s="61"/>
      <c r="AU18" s="84"/>
      <c r="AV18" s="17"/>
    </row>
    <row r="19" spans="1:48" ht="12.4" customHeight="1" x14ac:dyDescent="0.2">
      <c r="A19" s="1">
        <v>1.5989933013916016</v>
      </c>
      <c r="B19" s="42">
        <v>0</v>
      </c>
      <c r="C19" s="42">
        <f t="shared" si="1"/>
        <v>1</v>
      </c>
      <c r="D19" s="72">
        <f t="shared" si="2"/>
        <v>0</v>
      </c>
      <c r="E19" s="126">
        <f>(2*Table!$AC$16*0.147)/A19</f>
        <v>57.320493578951428</v>
      </c>
      <c r="F19" s="126">
        <f t="shared" si="3"/>
        <v>114.64098715790286</v>
      </c>
      <c r="G19" s="1">
        <f>IF((('Raw Data'!C19)/('Raw Data'!C$136)*100)&lt;0,0,('Raw Data'!C19)/('Raw Data'!C$136)*100)</f>
        <v>0</v>
      </c>
      <c r="H19" s="1">
        <f t="shared" si="4"/>
        <v>0</v>
      </c>
      <c r="I19" s="83">
        <f t="shared" si="5"/>
        <v>2.5459545987652543E-2</v>
      </c>
      <c r="J19" s="126">
        <f>'Raw Data'!F19/I19</f>
        <v>0</v>
      </c>
      <c r="K19" s="123">
        <f t="shared" si="6"/>
        <v>2.869270326258683E-3</v>
      </c>
      <c r="L19" s="1">
        <f>A19*Table!$AC$9/$AC$16</f>
        <v>0.35903389372692268</v>
      </c>
      <c r="M19" s="1">
        <f>A19*Table!$AD$9/$AC$16</f>
        <v>0.12309733499208778</v>
      </c>
      <c r="N19" s="1">
        <f>ABS(A19*Table!$AE$9/$AC$16)</f>
        <v>0.15546623639357873</v>
      </c>
      <c r="O19" s="1">
        <f>($L19*(Table!$AC$10/Table!$AC$9)/(Table!$AC$12-Table!$AC$14))</f>
        <v>0.77012847217272151</v>
      </c>
      <c r="P19" s="1">
        <f>ROUND(($N19*(Table!$AE$10/Table!$AE$9)/(Table!$AC$12-Table!$AC$13)),2)</f>
        <v>1.28</v>
      </c>
      <c r="Q19" s="1">
        <f>'Raw Data'!C19</f>
        <v>0</v>
      </c>
      <c r="R19" s="1">
        <f>'Raw Data'!C19/'Raw Data'!I$30*100</f>
        <v>0</v>
      </c>
      <c r="S19" s="128">
        <f t="shared" si="7"/>
        <v>0</v>
      </c>
      <c r="T19" s="128">
        <f t="shared" si="8"/>
        <v>1</v>
      </c>
      <c r="U19" s="5">
        <f t="shared" si="9"/>
        <v>0</v>
      </c>
      <c r="V19" s="5">
        <f t="shared" si="10"/>
        <v>0</v>
      </c>
      <c r="W19" s="5">
        <f t="shared" si="11"/>
        <v>0</v>
      </c>
      <c r="X19" s="104">
        <f t="shared" si="12"/>
        <v>0</v>
      </c>
      <c r="AN19" s="143">
        <f>E68</f>
        <v>0.69255853256923194</v>
      </c>
      <c r="AO19" s="143">
        <f>$B68</f>
        <v>0.10279187817258884</v>
      </c>
      <c r="AP19" s="143">
        <f t="shared" si="0"/>
        <v>9.4098984771573607E-2</v>
      </c>
      <c r="AR19" s="61">
        <v>0.74938444802644799</v>
      </c>
      <c r="AS19" s="61"/>
      <c r="AT19" s="61"/>
      <c r="AU19" s="84"/>
      <c r="AV19" s="17"/>
    </row>
    <row r="20" spans="1:48" ht="12.4" customHeight="1" x14ac:dyDescent="0.2">
      <c r="A20" s="1">
        <v>1.8068345785140991</v>
      </c>
      <c r="B20" s="42">
        <v>0</v>
      </c>
      <c r="C20" s="42">
        <f t="shared" si="1"/>
        <v>1</v>
      </c>
      <c r="D20" s="72">
        <f t="shared" si="2"/>
        <v>0</v>
      </c>
      <c r="E20" s="126">
        <f>(2*Table!$AC$16*0.147)/A20</f>
        <v>50.72688244685839</v>
      </c>
      <c r="F20" s="126">
        <f t="shared" si="3"/>
        <v>101.45376489371678</v>
      </c>
      <c r="G20" s="1">
        <f>IF((('Raw Data'!C20)/('Raw Data'!C$136)*100)&lt;0,0,('Raw Data'!C20)/('Raw Data'!C$136)*100)</f>
        <v>0</v>
      </c>
      <c r="H20" s="1">
        <f t="shared" si="4"/>
        <v>0</v>
      </c>
      <c r="I20" s="83">
        <f t="shared" si="5"/>
        <v>5.3071748956874165E-2</v>
      </c>
      <c r="J20" s="126">
        <f>'Raw Data'!F20/I20</f>
        <v>0</v>
      </c>
      <c r="K20" s="123">
        <f t="shared" si="6"/>
        <v>3.2422254902986351E-3</v>
      </c>
      <c r="L20" s="1">
        <f>A20*Table!$AC$9/$AC$16</f>
        <v>0.40570204608098392</v>
      </c>
      <c r="M20" s="1">
        <f>A20*Table!$AD$9/$AC$16</f>
        <v>0.13909784437062306</v>
      </c>
      <c r="N20" s="1">
        <f>ABS(A20*Table!$AE$9/$AC$16)</f>
        <v>0.17567413913672855</v>
      </c>
      <c r="O20" s="1">
        <f>($L20*(Table!$AC$10/Table!$AC$9)/(Table!$AC$12-Table!$AC$14))</f>
        <v>0.87023175907546968</v>
      </c>
      <c r="P20" s="1">
        <f>ROUND(($N20*(Table!$AE$10/Table!$AE$9)/(Table!$AC$12-Table!$AC$13)),2)</f>
        <v>1.44</v>
      </c>
      <c r="Q20" s="1">
        <f>'Raw Data'!C20</f>
        <v>0</v>
      </c>
      <c r="R20" s="1">
        <f>'Raw Data'!C20/'Raw Data'!I$30*100</f>
        <v>0</v>
      </c>
      <c r="S20" s="128">
        <f t="shared" si="7"/>
        <v>0</v>
      </c>
      <c r="T20" s="128">
        <f t="shared" si="8"/>
        <v>1</v>
      </c>
      <c r="U20" s="5">
        <f t="shared" si="9"/>
        <v>0</v>
      </c>
      <c r="V20" s="5">
        <f t="shared" si="10"/>
        <v>0</v>
      </c>
      <c r="W20" s="5">
        <f t="shared" si="11"/>
        <v>0</v>
      </c>
      <c r="X20" s="104">
        <f t="shared" si="12"/>
        <v>0</v>
      </c>
      <c r="AN20" s="18">
        <f>E64</f>
        <v>0.97905757462097742</v>
      </c>
      <c r="AO20" s="143">
        <f>$B64</f>
        <v>8.6928934010152281E-3</v>
      </c>
      <c r="AP20" s="143">
        <f t="shared" si="0"/>
        <v>8.1218274111675131E-3</v>
      </c>
      <c r="AR20" s="92">
        <v>1.0742552826940897</v>
      </c>
      <c r="AS20" s="61"/>
      <c r="AT20" s="61"/>
      <c r="AU20" s="84"/>
      <c r="AV20" s="17"/>
    </row>
    <row r="21" spans="1:48" ht="12.4" customHeight="1" x14ac:dyDescent="0.2">
      <c r="A21" s="1">
        <v>2.0094594955444336</v>
      </c>
      <c r="B21" s="42">
        <v>0</v>
      </c>
      <c r="C21" s="42">
        <f t="shared" si="1"/>
        <v>1</v>
      </c>
      <c r="D21" s="72">
        <f t="shared" si="2"/>
        <v>0</v>
      </c>
      <c r="E21" s="126">
        <f>(2*Table!$AC$16*0.147)/A21</f>
        <v>45.611810274568903</v>
      </c>
      <c r="F21" s="126">
        <f t="shared" si="3"/>
        <v>91.223620549137806</v>
      </c>
      <c r="G21" s="1">
        <f>IF((('Raw Data'!C21)/('Raw Data'!C$136)*100)&lt;0,0,('Raw Data'!C21)/('Raw Data'!C$136)*100)</f>
        <v>0</v>
      </c>
      <c r="H21" s="1">
        <f t="shared" si="4"/>
        <v>0</v>
      </c>
      <c r="I21" s="83">
        <f t="shared" si="5"/>
        <v>4.6160863258065676E-2</v>
      </c>
      <c r="J21" s="126">
        <f>'Raw Data'!F21/I21</f>
        <v>0</v>
      </c>
      <c r="K21" s="123">
        <f t="shared" si="6"/>
        <v>3.6058202979127683E-3</v>
      </c>
      <c r="L21" s="1">
        <f>A21*Table!$AC$9/$AC$16</f>
        <v>0.4511989301918693</v>
      </c>
      <c r="M21" s="1">
        <f>A21*Table!$AD$9/$AC$16</f>
        <v>0.15469677606578375</v>
      </c>
      <c r="N21" s="1">
        <f>ABS(A21*Table!$AE$9/$AC$16)</f>
        <v>0.19537486785326019</v>
      </c>
      <c r="O21" s="1">
        <f>($L21*(Table!$AC$10/Table!$AC$9)/(Table!$AC$12-Table!$AC$14))</f>
        <v>0.96782267308423287</v>
      </c>
      <c r="P21" s="1">
        <f>ROUND(($N21*(Table!$AE$10/Table!$AE$9)/(Table!$AC$12-Table!$AC$13)),2)</f>
        <v>1.6</v>
      </c>
      <c r="Q21" s="1">
        <f>'Raw Data'!C21</f>
        <v>0</v>
      </c>
      <c r="R21" s="1">
        <f>'Raw Data'!C21/'Raw Data'!I$30*100</f>
        <v>0</v>
      </c>
      <c r="S21" s="128">
        <f t="shared" si="7"/>
        <v>0</v>
      </c>
      <c r="T21" s="128">
        <f t="shared" si="8"/>
        <v>1</v>
      </c>
      <c r="U21" s="5">
        <f t="shared" si="9"/>
        <v>0</v>
      </c>
      <c r="V21" s="5">
        <f t="shared" si="10"/>
        <v>0</v>
      </c>
      <c r="W21" s="5">
        <f t="shared" si="11"/>
        <v>0</v>
      </c>
      <c r="X21" s="104">
        <f t="shared" si="12"/>
        <v>0</v>
      </c>
      <c r="AN21" s="18">
        <f>$E55</f>
        <v>2.2454192891690483</v>
      </c>
      <c r="AO21" s="143">
        <f>$B55</f>
        <v>5.7106598984771567E-4</v>
      </c>
      <c r="AP21" s="143">
        <f t="shared" si="0"/>
        <v>5.7106598984771567E-4</v>
      </c>
      <c r="AR21" s="92">
        <v>2.3818202604521379</v>
      </c>
      <c r="AS21" s="61"/>
      <c r="AT21" s="61"/>
      <c r="AU21" s="84"/>
      <c r="AV21" s="17"/>
    </row>
    <row r="22" spans="1:48" ht="12.4" customHeight="1" x14ac:dyDescent="0.2">
      <c r="A22" s="1">
        <v>2.1648108959197998</v>
      </c>
      <c r="B22" s="42">
        <v>0</v>
      </c>
      <c r="C22" s="42">
        <f t="shared" si="1"/>
        <v>1</v>
      </c>
      <c r="D22" s="72">
        <f t="shared" si="2"/>
        <v>0</v>
      </c>
      <c r="E22" s="126">
        <f>(2*Table!$AC$16*0.147)/A22</f>
        <v>42.3386104707592</v>
      </c>
      <c r="F22" s="126">
        <f t="shared" si="3"/>
        <v>84.677220941518399</v>
      </c>
      <c r="G22" s="1">
        <f>IF((('Raw Data'!C22)/('Raw Data'!C$136)*100)&lt;0,0,('Raw Data'!C22)/('Raw Data'!C$136)*100)</f>
        <v>0</v>
      </c>
      <c r="H22" s="1">
        <f t="shared" si="4"/>
        <v>0</v>
      </c>
      <c r="I22" s="83">
        <f t="shared" si="5"/>
        <v>3.2340708558906917E-2</v>
      </c>
      <c r="J22" s="126">
        <f>'Raw Data'!F22/I22</f>
        <v>0</v>
      </c>
      <c r="K22" s="123">
        <f t="shared" si="6"/>
        <v>3.8845864208551461E-3</v>
      </c>
      <c r="L22" s="1">
        <f>A22*Table!$AC$9/$AC$16</f>
        <v>0.48608113896920169</v>
      </c>
      <c r="M22" s="1">
        <f>A22*Table!$AD$9/$AC$16</f>
        <v>0.1666563905037263</v>
      </c>
      <c r="N22" s="1">
        <f>ABS(A22*Table!$AE$9/$AC$16)</f>
        <v>0.21047930732390135</v>
      </c>
      <c r="O22" s="1">
        <f>($L22*(Table!$AC$10/Table!$AC$9)/(Table!$AC$12-Table!$AC$14))</f>
        <v>1.0426450857340235</v>
      </c>
      <c r="P22" s="1">
        <f>ROUND(($N22*(Table!$AE$10/Table!$AE$9)/(Table!$AC$12-Table!$AC$13)),2)</f>
        <v>1.73</v>
      </c>
      <c r="Q22" s="1">
        <f>'Raw Data'!C22</f>
        <v>0</v>
      </c>
      <c r="R22" s="1">
        <f>'Raw Data'!C22/'Raw Data'!I$30*100</f>
        <v>0</v>
      </c>
      <c r="S22" s="128">
        <f t="shared" si="7"/>
        <v>0</v>
      </c>
      <c r="T22" s="128">
        <f t="shared" si="8"/>
        <v>1</v>
      </c>
      <c r="U22" s="5">
        <f t="shared" si="9"/>
        <v>0</v>
      </c>
      <c r="V22" s="5">
        <f t="shared" si="10"/>
        <v>0</v>
      </c>
      <c r="W22" s="5">
        <f t="shared" si="11"/>
        <v>0</v>
      </c>
      <c r="X22" s="104">
        <f t="shared" si="12"/>
        <v>0</v>
      </c>
      <c r="AN22" s="18">
        <f>$E47</f>
        <v>4.5224574755300599</v>
      </c>
      <c r="AO22" s="143">
        <f>$B47</f>
        <v>0</v>
      </c>
      <c r="AP22" s="143">
        <f t="shared" si="0"/>
        <v>0</v>
      </c>
      <c r="AR22" s="92">
        <v>4.9092259390712378</v>
      </c>
      <c r="AS22" s="61"/>
      <c r="AT22" s="61"/>
      <c r="AU22" s="84"/>
      <c r="AV22" s="17"/>
    </row>
    <row r="23" spans="1:48" ht="12.4" customHeight="1" x14ac:dyDescent="0.2">
      <c r="A23" s="1">
        <v>2.3579812049865723</v>
      </c>
      <c r="B23" s="42">
        <v>0</v>
      </c>
      <c r="C23" s="42">
        <f t="shared" si="1"/>
        <v>1</v>
      </c>
      <c r="D23" s="72">
        <f t="shared" si="2"/>
        <v>0</v>
      </c>
      <c r="E23" s="126">
        <f>(2*Table!$AC$16*0.147)/A23</f>
        <v>38.870150903397715</v>
      </c>
      <c r="F23" s="126">
        <f t="shared" si="3"/>
        <v>77.740301806795429</v>
      </c>
      <c r="G23" s="1">
        <f>IF((('Raw Data'!C23)/('Raw Data'!C$136)*100)&lt;0,0,('Raw Data'!C23)/('Raw Data'!C$136)*100)</f>
        <v>0</v>
      </c>
      <c r="H23" s="1">
        <f t="shared" si="4"/>
        <v>0</v>
      </c>
      <c r="I23" s="83">
        <f t="shared" si="5"/>
        <v>3.7120373946557761E-2</v>
      </c>
      <c r="J23" s="126">
        <f>'Raw Data'!F23/I23</f>
        <v>0</v>
      </c>
      <c r="K23" s="123">
        <f t="shared" si="6"/>
        <v>4.2312156626644389E-3</v>
      </c>
      <c r="L23" s="1">
        <f>A23*Table!$AC$9/$AC$16</f>
        <v>0.5294551094269373</v>
      </c>
      <c r="M23" s="1">
        <f>A23*Table!$AD$9/$AC$16</f>
        <v>0.18152746608923562</v>
      </c>
      <c r="N23" s="1">
        <f>ABS(A23*Table!$AE$9/$AC$16)</f>
        <v>0.22926078746359874</v>
      </c>
      <c r="O23" s="1">
        <f>($L23*(Table!$AC$10/Table!$AC$9)/(Table!$AC$12-Table!$AC$14))</f>
        <v>1.135682345403126</v>
      </c>
      <c r="P23" s="1">
        <f>ROUND(($N23*(Table!$AE$10/Table!$AE$9)/(Table!$AC$12-Table!$AC$13)),2)</f>
        <v>1.88</v>
      </c>
      <c r="Q23" s="1">
        <f>'Raw Data'!C23</f>
        <v>0</v>
      </c>
      <c r="R23" s="1">
        <f>'Raw Data'!C23/'Raw Data'!I$30*100</f>
        <v>0</v>
      </c>
      <c r="S23" s="128">
        <f t="shared" si="7"/>
        <v>0</v>
      </c>
      <c r="T23" s="128">
        <f t="shared" si="8"/>
        <v>1</v>
      </c>
      <c r="U23" s="5">
        <f t="shared" si="9"/>
        <v>0</v>
      </c>
      <c r="V23" s="5">
        <f t="shared" si="10"/>
        <v>0</v>
      </c>
      <c r="W23" s="5">
        <f t="shared" si="11"/>
        <v>0</v>
      </c>
      <c r="X23" s="104">
        <f t="shared" si="12"/>
        <v>0</v>
      </c>
      <c r="AN23" s="18">
        <f>$E42</f>
        <v>7.1138420144988572</v>
      </c>
      <c r="AO23" s="143">
        <f>$B42</f>
        <v>0</v>
      </c>
      <c r="AP23" s="143">
        <f t="shared" si="0"/>
        <v>0</v>
      </c>
      <c r="AR23" s="92">
        <v>7.6545393934362336</v>
      </c>
      <c r="AS23" s="61"/>
      <c r="AT23" s="61"/>
      <c r="AU23" s="84"/>
      <c r="AV23" s="17"/>
    </row>
    <row r="24" spans="1:48" ht="12.4" customHeight="1" x14ac:dyDescent="0.2">
      <c r="A24" s="1">
        <v>2.5763368606567383</v>
      </c>
      <c r="B24" s="42">
        <v>0</v>
      </c>
      <c r="C24" s="42">
        <f t="shared" si="1"/>
        <v>1</v>
      </c>
      <c r="D24" s="72">
        <f t="shared" si="2"/>
        <v>0</v>
      </c>
      <c r="E24" s="126">
        <f>(2*Table!$AC$16*0.147)/A24</f>
        <v>35.575738042982351</v>
      </c>
      <c r="F24" s="126">
        <f t="shared" si="3"/>
        <v>71.151476085964703</v>
      </c>
      <c r="G24" s="1">
        <f>IF((('Raw Data'!C24)/('Raw Data'!C$136)*100)&lt;0,0,('Raw Data'!C24)/('Raw Data'!C$136)*100)</f>
        <v>0</v>
      </c>
      <c r="H24" s="1">
        <f t="shared" si="4"/>
        <v>0</v>
      </c>
      <c r="I24" s="83">
        <f t="shared" si="5"/>
        <v>3.8462308086136598E-2</v>
      </c>
      <c r="J24" s="126">
        <f>'Raw Data'!F24/I24</f>
        <v>0</v>
      </c>
      <c r="K24" s="123">
        <f t="shared" si="6"/>
        <v>4.6230380691997921E-3</v>
      </c>
      <c r="L24" s="1">
        <f>A24*Table!$AC$9/$AC$16</f>
        <v>0.57848413362880602</v>
      </c>
      <c r="M24" s="1">
        <f>A24*Table!$AD$9/$AC$16</f>
        <v>0.19833741724416207</v>
      </c>
      <c r="N24" s="1">
        <f>ABS(A24*Table!$AE$9/$AC$16)</f>
        <v>0.250490977704389</v>
      </c>
      <c r="O24" s="1">
        <f>($L24*(Table!$AC$10/Table!$AC$9)/(Table!$AC$12-Table!$AC$14))</f>
        <v>1.2408497074834965</v>
      </c>
      <c r="P24" s="1">
        <f>ROUND(($N24*(Table!$AE$10/Table!$AE$9)/(Table!$AC$12-Table!$AC$13)),2)</f>
        <v>2.06</v>
      </c>
      <c r="Q24" s="1">
        <f>'Raw Data'!C24</f>
        <v>0</v>
      </c>
      <c r="R24" s="1">
        <f>'Raw Data'!C24/'Raw Data'!I$30*100</f>
        <v>0</v>
      </c>
      <c r="S24" s="128">
        <f t="shared" si="7"/>
        <v>0</v>
      </c>
      <c r="T24" s="128">
        <f t="shared" si="8"/>
        <v>1</v>
      </c>
      <c r="U24" s="5">
        <f t="shared" si="9"/>
        <v>0</v>
      </c>
      <c r="V24" s="5">
        <f t="shared" si="10"/>
        <v>0</v>
      </c>
      <c r="W24" s="5">
        <f t="shared" si="11"/>
        <v>0</v>
      </c>
      <c r="X24" s="104">
        <f t="shared" si="12"/>
        <v>0</v>
      </c>
      <c r="AN24" s="80">
        <f>$E39</f>
        <v>9.2790059501843363</v>
      </c>
      <c r="AO24" s="143">
        <f>$B39</f>
        <v>0</v>
      </c>
      <c r="AP24" s="143">
        <f t="shared" si="0"/>
        <v>0</v>
      </c>
      <c r="AR24" s="15">
        <v>10.01194107647434</v>
      </c>
      <c r="AS24" s="61"/>
      <c r="AT24" s="61"/>
      <c r="AU24" s="84"/>
      <c r="AV24" s="17"/>
    </row>
    <row r="25" spans="1:48" ht="12.4" customHeight="1" x14ac:dyDescent="0.2">
      <c r="A25" s="1">
        <v>2.8118090629577637</v>
      </c>
      <c r="B25" s="42">
        <v>0</v>
      </c>
      <c r="C25" s="42">
        <f t="shared" si="1"/>
        <v>1</v>
      </c>
      <c r="D25" s="72">
        <f t="shared" si="2"/>
        <v>0</v>
      </c>
      <c r="E25" s="126">
        <f>(2*Table!$AC$16*0.147)/A25</f>
        <v>32.596482624887393</v>
      </c>
      <c r="F25" s="126">
        <f t="shared" si="3"/>
        <v>65.192965249774787</v>
      </c>
      <c r="G25" s="1">
        <f>IF((('Raw Data'!C25)/('Raw Data'!C$136)*100)&lt;0,0,('Raw Data'!C25)/('Raw Data'!C$136)*100)</f>
        <v>0</v>
      </c>
      <c r="H25" s="1">
        <f t="shared" si="4"/>
        <v>0</v>
      </c>
      <c r="I25" s="83">
        <f t="shared" si="5"/>
        <v>3.7983179223515018E-2</v>
      </c>
      <c r="J25" s="126">
        <f>'Raw Data'!F25/I25</f>
        <v>0</v>
      </c>
      <c r="K25" s="123">
        <f t="shared" si="6"/>
        <v>5.0455748003625242E-3</v>
      </c>
      <c r="L25" s="1">
        <f>A25*Table!$AC$9/$AC$16</f>
        <v>0.63135646372738341</v>
      </c>
      <c r="M25" s="1">
        <f>A25*Table!$AD$9/$AC$16</f>
        <v>0.21646507327796002</v>
      </c>
      <c r="N25" s="1">
        <f>ABS(A25*Table!$AE$9/$AC$16)</f>
        <v>0.27338536821571124</v>
      </c>
      <c r="O25" s="1">
        <f>($L25*(Table!$AC$10/Table!$AC$9)/(Table!$AC$12-Table!$AC$14))</f>
        <v>1.3542609689562066</v>
      </c>
      <c r="P25" s="1">
        <f>ROUND(($N25*(Table!$AE$10/Table!$AE$9)/(Table!$AC$12-Table!$AC$13)),2)</f>
        <v>2.2400000000000002</v>
      </c>
      <c r="Q25" s="1">
        <f>'Raw Data'!C25</f>
        <v>0</v>
      </c>
      <c r="R25" s="1">
        <f>'Raw Data'!C25/'Raw Data'!I$30*100</f>
        <v>0</v>
      </c>
      <c r="S25" s="128">
        <f t="shared" si="7"/>
        <v>0</v>
      </c>
      <c r="T25" s="128">
        <f t="shared" si="8"/>
        <v>1</v>
      </c>
      <c r="U25" s="5">
        <f t="shared" si="9"/>
        <v>0</v>
      </c>
      <c r="V25" s="5">
        <f t="shared" si="10"/>
        <v>0</v>
      </c>
      <c r="W25" s="5">
        <f t="shared" si="11"/>
        <v>0</v>
      </c>
      <c r="X25" s="104">
        <f t="shared" si="12"/>
        <v>0</v>
      </c>
      <c r="AN25" s="80">
        <f>$E29</f>
        <v>22.693604123131678</v>
      </c>
      <c r="AO25" s="143">
        <f>$B29</f>
        <v>0</v>
      </c>
      <c r="AP25" s="143">
        <f t="shared" si="0"/>
        <v>0</v>
      </c>
      <c r="AR25" s="15">
        <v>23.954008145687514</v>
      </c>
      <c r="AS25" s="61"/>
      <c r="AT25" s="61"/>
      <c r="AU25" s="84"/>
      <c r="AV25" s="17"/>
    </row>
    <row r="26" spans="1:48" ht="12.4" customHeight="1" x14ac:dyDescent="0.2">
      <c r="A26" s="1">
        <v>3.0808615684509277</v>
      </c>
      <c r="B26" s="42">
        <v>0</v>
      </c>
      <c r="C26" s="42">
        <f t="shared" si="1"/>
        <v>1</v>
      </c>
      <c r="D26" s="72">
        <f t="shared" si="2"/>
        <v>0</v>
      </c>
      <c r="E26" s="126">
        <f>(2*Table!$AC$16*0.147)/A26</f>
        <v>29.749822648243253</v>
      </c>
      <c r="F26" s="126">
        <f t="shared" si="3"/>
        <v>59.499645296486506</v>
      </c>
      <c r="G26" s="1">
        <f>IF((('Raw Data'!C26)/('Raw Data'!C$136)*100)&lt;0,0,('Raw Data'!C26)/('Raw Data'!C$136)*100)</f>
        <v>0</v>
      </c>
      <c r="H26" s="1">
        <f t="shared" si="4"/>
        <v>0</v>
      </c>
      <c r="I26" s="83">
        <f t="shared" si="5"/>
        <v>3.968635830972711E-2</v>
      </c>
      <c r="J26" s="126">
        <f>'Raw Data'!F26/I26</f>
        <v>0</v>
      </c>
      <c r="K26" s="123">
        <f t="shared" si="6"/>
        <v>5.528368799277485E-3</v>
      </c>
      <c r="L26" s="1">
        <f>A26*Table!$AC$9/$AC$16</f>
        <v>0.691768829795537</v>
      </c>
      <c r="M26" s="1">
        <f>A26*Table!$AD$9/$AC$16</f>
        <v>0.23717788450132699</v>
      </c>
      <c r="N26" s="1">
        <f>ABS(A26*Table!$AE$9/$AC$16)</f>
        <v>0.29954469007458429</v>
      </c>
      <c r="O26" s="1">
        <f>($L26*(Table!$AC$10/Table!$AC$9)/(Table!$AC$12-Table!$AC$14))</f>
        <v>1.4838456237570508</v>
      </c>
      <c r="P26" s="1">
        <f>ROUND(($N26*(Table!$AE$10/Table!$AE$9)/(Table!$AC$12-Table!$AC$13)),2)</f>
        <v>2.46</v>
      </c>
      <c r="Q26" s="1">
        <f>'Raw Data'!C26</f>
        <v>0</v>
      </c>
      <c r="R26" s="1">
        <f>'Raw Data'!C26/'Raw Data'!I$30*100</f>
        <v>0</v>
      </c>
      <c r="S26" s="128">
        <f t="shared" si="7"/>
        <v>0</v>
      </c>
      <c r="T26" s="128">
        <f t="shared" si="8"/>
        <v>1</v>
      </c>
      <c r="U26" s="5">
        <f t="shared" si="9"/>
        <v>0</v>
      </c>
      <c r="V26" s="5">
        <f t="shared" si="10"/>
        <v>0</v>
      </c>
      <c r="W26" s="5">
        <f t="shared" si="11"/>
        <v>0</v>
      </c>
      <c r="X26" s="104">
        <f t="shared" si="12"/>
        <v>0</v>
      </c>
      <c r="AN26" s="80">
        <f>$E21</f>
        <v>45.611810274568903</v>
      </c>
      <c r="AO26" s="143">
        <f>$B22</f>
        <v>0</v>
      </c>
      <c r="AP26" s="143">
        <f t="shared" si="0"/>
        <v>0</v>
      </c>
      <c r="AR26" s="15">
        <v>51.76790385987443</v>
      </c>
      <c r="AS26" s="61"/>
      <c r="AT26" s="61"/>
      <c r="AU26" s="84"/>
      <c r="AV26" s="17"/>
    </row>
    <row r="27" spans="1:48" ht="12.4" customHeight="1" x14ac:dyDescent="0.2">
      <c r="A27" s="1">
        <v>3.3865108489990234</v>
      </c>
      <c r="B27" s="42">
        <v>0</v>
      </c>
      <c r="C27" s="42">
        <f t="shared" si="1"/>
        <v>1</v>
      </c>
      <c r="D27" s="72">
        <f t="shared" si="2"/>
        <v>0</v>
      </c>
      <c r="E27" s="126">
        <f>(2*Table!$AC$16*0.147)/A27</f>
        <v>27.064754655162208</v>
      </c>
      <c r="F27" s="126">
        <f t="shared" si="3"/>
        <v>54.129509310324416</v>
      </c>
      <c r="G27" s="1">
        <f>IF((('Raw Data'!C27)/('Raw Data'!C$136)*100)&lt;0,0,('Raw Data'!C27)/('Raw Data'!C$136)*100)</f>
        <v>0</v>
      </c>
      <c r="H27" s="1">
        <f t="shared" si="4"/>
        <v>0</v>
      </c>
      <c r="I27" s="83">
        <f t="shared" si="5"/>
        <v>4.1080286532243937E-2</v>
      </c>
      <c r="J27" s="126">
        <f>'Raw Data'!F27/I27</f>
        <v>0</v>
      </c>
      <c r="K27" s="123">
        <f t="shared" si="6"/>
        <v>6.076832892376388E-3</v>
      </c>
      <c r="L27" s="1">
        <f>A27*Table!$AC$9/$AC$16</f>
        <v>0.76039854276213303</v>
      </c>
      <c r="M27" s="1">
        <f>A27*Table!$AD$9/$AC$16</f>
        <v>0.26070807180415989</v>
      </c>
      <c r="N27" s="1">
        <f>ABS(A27*Table!$AE$9/$AC$16)</f>
        <v>0.32926222751633755</v>
      </c>
      <c r="O27" s="1">
        <f>($L27*(Table!$AC$10/Table!$AC$9)/(Table!$AC$12-Table!$AC$14))</f>
        <v>1.6310565052812807</v>
      </c>
      <c r="P27" s="1">
        <f>ROUND(($N27*(Table!$AE$10/Table!$AE$9)/(Table!$AC$12-Table!$AC$13)),2)</f>
        <v>2.7</v>
      </c>
      <c r="Q27" s="1">
        <f>'Raw Data'!C27</f>
        <v>0</v>
      </c>
      <c r="R27" s="1">
        <f>'Raw Data'!C27/'Raw Data'!I$30*100</f>
        <v>0</v>
      </c>
      <c r="S27" s="128">
        <f t="shared" si="7"/>
        <v>0</v>
      </c>
      <c r="T27" s="128">
        <f t="shared" si="8"/>
        <v>1</v>
      </c>
      <c r="U27" s="5">
        <f t="shared" si="9"/>
        <v>0</v>
      </c>
      <c r="V27" s="5">
        <f t="shared" si="10"/>
        <v>0</v>
      </c>
      <c r="W27" s="5">
        <f t="shared" si="11"/>
        <v>0</v>
      </c>
      <c r="X27" s="104">
        <f t="shared" si="12"/>
        <v>0</v>
      </c>
      <c r="AN27" s="80">
        <f>$E18</f>
        <v>60.781227612652074</v>
      </c>
      <c r="AO27" s="143">
        <f>$B18</f>
        <v>0</v>
      </c>
      <c r="AP27" s="143">
        <f t="shared" si="0"/>
        <v>0</v>
      </c>
      <c r="AR27" s="15">
        <v>72.33793188366559</v>
      </c>
      <c r="AS27" s="61"/>
      <c r="AT27" s="61"/>
      <c r="AU27" s="84"/>
      <c r="AV27" s="17"/>
    </row>
    <row r="28" spans="1:48" ht="12.4" customHeight="1" x14ac:dyDescent="0.2">
      <c r="A28" s="1">
        <v>3.6919970512390137</v>
      </c>
      <c r="B28" s="42">
        <v>0</v>
      </c>
      <c r="C28" s="42">
        <f t="shared" si="1"/>
        <v>1</v>
      </c>
      <c r="D28" s="72">
        <f t="shared" si="2"/>
        <v>0</v>
      </c>
      <c r="E28" s="126">
        <f>(2*Table!$AC$16*0.147)/A28</f>
        <v>24.825340863813718</v>
      </c>
      <c r="F28" s="126">
        <f t="shared" si="3"/>
        <v>49.650681727627436</v>
      </c>
      <c r="G28" s="1">
        <f>IF((('Raw Data'!C28)/('Raw Data'!C$136)*100)&lt;0,0,('Raw Data'!C28)/('Raw Data'!C$136)*100)</f>
        <v>0</v>
      </c>
      <c r="H28" s="1">
        <f t="shared" si="4"/>
        <v>0</v>
      </c>
      <c r="I28" s="83">
        <f t="shared" si="5"/>
        <v>3.7508874240438361E-2</v>
      </c>
      <c r="J28" s="126">
        <f>'Raw Data'!F28/I28</f>
        <v>0</v>
      </c>
      <c r="K28" s="123">
        <f t="shared" si="6"/>
        <v>6.6250043540115487E-3</v>
      </c>
      <c r="L28" s="1">
        <f>A28*Table!$AC$9/$AC$16</f>
        <v>0.82899163853971991</v>
      </c>
      <c r="M28" s="1">
        <f>A28*Table!$AD$9/$AC$16</f>
        <v>0.28422570464218966</v>
      </c>
      <c r="N28" s="1">
        <f>ABS(A28*Table!$AE$9/$AC$16)</f>
        <v>0.35896390925014215</v>
      </c>
      <c r="O28" s="1">
        <f>($L28*(Table!$AC$10/Table!$AC$9)/(Table!$AC$12-Table!$AC$14))</f>
        <v>1.7781888428565422</v>
      </c>
      <c r="P28" s="1">
        <f>ROUND(($N28*(Table!$AE$10/Table!$AE$9)/(Table!$AC$12-Table!$AC$13)),2)</f>
        <v>2.95</v>
      </c>
      <c r="Q28" s="1">
        <f>'Raw Data'!C28</f>
        <v>0</v>
      </c>
      <c r="R28" s="1">
        <f>'Raw Data'!C28/'Raw Data'!I$30*100</f>
        <v>0</v>
      </c>
      <c r="S28" s="128">
        <f t="shared" si="7"/>
        <v>0</v>
      </c>
      <c r="T28" s="128">
        <f t="shared" si="8"/>
        <v>1</v>
      </c>
      <c r="U28" s="5">
        <f t="shared" si="9"/>
        <v>0</v>
      </c>
      <c r="V28" s="5">
        <f t="shared" si="10"/>
        <v>0</v>
      </c>
      <c r="W28" s="5">
        <f t="shared" si="11"/>
        <v>0</v>
      </c>
      <c r="X28" s="104">
        <f t="shared" si="12"/>
        <v>0</v>
      </c>
      <c r="AN28" s="38"/>
      <c r="AO28" s="143"/>
      <c r="AP28" s="143"/>
      <c r="AS28" s="61"/>
      <c r="AT28" s="61"/>
      <c r="AU28" s="17"/>
      <c r="AV28" s="17"/>
    </row>
    <row r="29" spans="1:48" ht="12.4" customHeight="1" x14ac:dyDescent="0.2">
      <c r="A29" s="1">
        <v>4.0388069152832031</v>
      </c>
      <c r="B29" s="42">
        <v>0</v>
      </c>
      <c r="C29" s="42">
        <f t="shared" si="1"/>
        <v>1</v>
      </c>
      <c r="D29" s="72">
        <f t="shared" si="2"/>
        <v>0</v>
      </c>
      <c r="E29" s="126">
        <f>(2*Table!$AC$16*0.147)/A29</f>
        <v>22.693604123131678</v>
      </c>
      <c r="F29" s="126">
        <f t="shared" si="3"/>
        <v>45.387208246263356</v>
      </c>
      <c r="G29" s="1">
        <f>IF((('Raw Data'!C29)/('Raw Data'!C$136)*100)&lt;0,0,('Raw Data'!C29)/('Raw Data'!C$136)*100)</f>
        <v>0</v>
      </c>
      <c r="H29" s="1">
        <f t="shared" si="4"/>
        <v>0</v>
      </c>
      <c r="I29" s="83">
        <f t="shared" si="5"/>
        <v>3.8991745704042069E-2</v>
      </c>
      <c r="J29" s="126">
        <f>'Raw Data'!F29/I29</f>
        <v>0</v>
      </c>
      <c r="K29" s="123">
        <f t="shared" si="6"/>
        <v>7.2473279440414592E-3</v>
      </c>
      <c r="L29" s="1">
        <f>A29*Table!$AC$9/$AC$16</f>
        <v>0.90686344435799537</v>
      </c>
      <c r="M29" s="1">
        <f>A29*Table!$AD$9/$AC$16</f>
        <v>0.31092460949416983</v>
      </c>
      <c r="N29" s="1">
        <f>ABS(A29*Table!$AE$9/$AC$16)</f>
        <v>0.39268339028873989</v>
      </c>
      <c r="O29" s="1">
        <f>($L29*(Table!$AC$10/Table!$AC$9)/(Table!$AC$12-Table!$AC$14))</f>
        <v>1.9452240333719337</v>
      </c>
      <c r="P29" s="1">
        <f>ROUND(($N29*(Table!$AE$10/Table!$AE$9)/(Table!$AC$12-Table!$AC$13)),2)</f>
        <v>3.22</v>
      </c>
      <c r="Q29" s="1">
        <f>'Raw Data'!C29</f>
        <v>0</v>
      </c>
      <c r="R29" s="1">
        <f>'Raw Data'!C29/'Raw Data'!I$30*100</f>
        <v>0</v>
      </c>
      <c r="S29" s="128">
        <f t="shared" si="7"/>
        <v>0</v>
      </c>
      <c r="T29" s="128">
        <f t="shared" si="8"/>
        <v>1</v>
      </c>
      <c r="U29" s="5">
        <f t="shared" si="9"/>
        <v>0</v>
      </c>
      <c r="V29" s="5">
        <f t="shared" si="10"/>
        <v>0</v>
      </c>
      <c r="W29" s="5">
        <f t="shared" si="11"/>
        <v>0</v>
      </c>
      <c r="X29" s="104">
        <f t="shared" si="12"/>
        <v>0</v>
      </c>
      <c r="AS29" s="61"/>
      <c r="AT29" s="61"/>
    </row>
    <row r="30" spans="1:48" ht="12.4" customHeight="1" x14ac:dyDescent="0.2">
      <c r="A30" s="1">
        <v>4.4196047782897949</v>
      </c>
      <c r="B30" s="42">
        <v>0</v>
      </c>
      <c r="C30" s="42">
        <f t="shared" si="1"/>
        <v>1</v>
      </c>
      <c r="D30" s="72">
        <f t="shared" si="2"/>
        <v>0</v>
      </c>
      <c r="E30" s="126">
        <f>(2*Table!$AC$16*0.147)/A30</f>
        <v>20.73829897990797</v>
      </c>
      <c r="F30" s="126">
        <f t="shared" si="3"/>
        <v>41.47659795981594</v>
      </c>
      <c r="G30" s="1">
        <f>IF((('Raw Data'!C30)/('Raw Data'!C$136)*100)&lt;0,0,('Raw Data'!C30)/('Raw Data'!C$136)*100)</f>
        <v>0</v>
      </c>
      <c r="H30" s="1">
        <f t="shared" si="4"/>
        <v>0</v>
      </c>
      <c r="I30" s="83">
        <f t="shared" si="5"/>
        <v>3.9130343252208766E-2</v>
      </c>
      <c r="J30" s="126">
        <f>'Raw Data'!F30/I30</f>
        <v>0</v>
      </c>
      <c r="K30" s="123">
        <f t="shared" si="6"/>
        <v>7.9306403804829586E-3</v>
      </c>
      <c r="L30" s="1">
        <f>A30*Table!$AC$9/$AC$16</f>
        <v>0.99236682911837004</v>
      </c>
      <c r="M30" s="1">
        <f>A30*Table!$AD$9/$AC$16</f>
        <v>0.34024005569772686</v>
      </c>
      <c r="N30" s="1">
        <f>ABS(A30*Table!$AE$9/$AC$16)</f>
        <v>0.42970744194475979</v>
      </c>
      <c r="O30" s="1">
        <f>($L30*(Table!$AC$10/Table!$AC$9)/(Table!$AC$12-Table!$AC$14))</f>
        <v>2.1286289770878812</v>
      </c>
      <c r="P30" s="1">
        <f>ROUND(($N30*(Table!$AE$10/Table!$AE$9)/(Table!$AC$12-Table!$AC$13)),2)</f>
        <v>3.53</v>
      </c>
      <c r="Q30" s="1">
        <f>'Raw Data'!C30</f>
        <v>0</v>
      </c>
      <c r="R30" s="1">
        <f>'Raw Data'!C30/'Raw Data'!I$30*100</f>
        <v>0</v>
      </c>
      <c r="S30" s="128">
        <f t="shared" si="7"/>
        <v>0</v>
      </c>
      <c r="T30" s="128">
        <f t="shared" si="8"/>
        <v>1</v>
      </c>
      <c r="U30" s="5">
        <f t="shared" si="9"/>
        <v>0</v>
      </c>
      <c r="V30" s="5">
        <f t="shared" si="10"/>
        <v>0</v>
      </c>
      <c r="W30" s="5">
        <f t="shared" si="11"/>
        <v>0</v>
      </c>
      <c r="X30" s="104">
        <f t="shared" si="12"/>
        <v>0</v>
      </c>
      <c r="AS30" s="61"/>
      <c r="AT30" s="61"/>
    </row>
    <row r="31" spans="1:48" ht="12.4" customHeight="1" x14ac:dyDescent="0.2">
      <c r="A31" s="1">
        <v>4.8204536437988281</v>
      </c>
      <c r="B31" s="42">
        <v>0</v>
      </c>
      <c r="C31" s="42">
        <f t="shared" si="1"/>
        <v>1</v>
      </c>
      <c r="D31" s="72">
        <f t="shared" si="2"/>
        <v>0</v>
      </c>
      <c r="E31" s="126">
        <f>(2*Table!$AC$16*0.147)/A31</f>
        <v>19.013788335691476</v>
      </c>
      <c r="F31" s="126">
        <f t="shared" si="3"/>
        <v>38.027576671382953</v>
      </c>
      <c r="G31" s="1">
        <f>IF((('Raw Data'!C31)/('Raw Data'!C$136)*100)&lt;0,0,('Raw Data'!C31)/('Raw Data'!C$136)*100)</f>
        <v>0</v>
      </c>
      <c r="H31" s="1">
        <f t="shared" si="4"/>
        <v>0</v>
      </c>
      <c r="I31" s="83">
        <f t="shared" si="5"/>
        <v>3.770447635289198E-2</v>
      </c>
      <c r="J31" s="126">
        <f>'Raw Data'!F31/I31</f>
        <v>0</v>
      </c>
      <c r="K31" s="123">
        <f t="shared" si="6"/>
        <v>8.6499327966041255E-3</v>
      </c>
      <c r="L31" s="1">
        <f>A31*Table!$AC$9/$AC$16</f>
        <v>1.0823724150420109</v>
      </c>
      <c r="M31" s="1">
        <f>A31*Table!$AD$9/$AC$16</f>
        <v>0.37109911372868942</v>
      </c>
      <c r="N31" s="1">
        <f>ABS(A31*Table!$AE$9/$AC$16)</f>
        <v>0.46868100389094769</v>
      </c>
      <c r="O31" s="1">
        <f>($L31*(Table!$AC$10/Table!$AC$9)/(Table!$AC$12-Table!$AC$14))</f>
        <v>2.3216911519562657</v>
      </c>
      <c r="P31" s="1">
        <f>ROUND(($N31*(Table!$AE$10/Table!$AE$9)/(Table!$AC$12-Table!$AC$13)),2)</f>
        <v>3.85</v>
      </c>
      <c r="Q31" s="1">
        <f>'Raw Data'!C31</f>
        <v>0</v>
      </c>
      <c r="R31" s="1">
        <f>'Raw Data'!C31/'Raw Data'!I$30*100</f>
        <v>0</v>
      </c>
      <c r="S31" s="128">
        <f t="shared" si="7"/>
        <v>0</v>
      </c>
      <c r="T31" s="128">
        <f t="shared" si="8"/>
        <v>1</v>
      </c>
      <c r="U31" s="5">
        <f t="shared" si="9"/>
        <v>0</v>
      </c>
      <c r="V31" s="5">
        <f t="shared" si="10"/>
        <v>0</v>
      </c>
      <c r="W31" s="5">
        <f t="shared" si="11"/>
        <v>0</v>
      </c>
      <c r="X31" s="104">
        <f t="shared" si="12"/>
        <v>0</v>
      </c>
      <c r="AS31" s="61"/>
      <c r="AT31" s="61"/>
    </row>
    <row r="32" spans="1:48" ht="12.4" customHeight="1" x14ac:dyDescent="0.2">
      <c r="A32" s="1">
        <v>5.2622184753417969</v>
      </c>
      <c r="B32" s="42">
        <v>0</v>
      </c>
      <c r="C32" s="42">
        <f t="shared" si="1"/>
        <v>1</v>
      </c>
      <c r="D32" s="72">
        <f t="shared" si="2"/>
        <v>0</v>
      </c>
      <c r="E32" s="126">
        <f>(2*Table!$AC$16*0.147)/A32</f>
        <v>17.417575057875254</v>
      </c>
      <c r="F32" s="126">
        <f t="shared" si="3"/>
        <v>34.835150115750508</v>
      </c>
      <c r="G32" s="1">
        <f>IF((('Raw Data'!C32)/('Raw Data'!C$136)*100)&lt;0,0,('Raw Data'!C32)/('Raw Data'!C$136)*100)</f>
        <v>0</v>
      </c>
      <c r="H32" s="1">
        <f t="shared" si="4"/>
        <v>0</v>
      </c>
      <c r="I32" s="83">
        <f t="shared" si="5"/>
        <v>3.8080964246537619E-2</v>
      </c>
      <c r="J32" s="126">
        <f>'Raw Data'!F32/I32</f>
        <v>0</v>
      </c>
      <c r="K32" s="123">
        <f t="shared" si="6"/>
        <v>9.4426457624606844E-3</v>
      </c>
      <c r="L32" s="1">
        <f>A32*Table!$AC$9/$AC$16</f>
        <v>1.1815651680338173</v>
      </c>
      <c r="M32" s="1">
        <f>A32*Table!$AD$9/$AC$16</f>
        <v>0.40510805761159446</v>
      </c>
      <c r="N32" s="1">
        <f>ABS(A32*Table!$AE$9/$AC$16)</f>
        <v>0.51163272587205744</v>
      </c>
      <c r="O32" s="1">
        <f>($L32*(Table!$AC$10/Table!$AC$9)/(Table!$AC$12-Table!$AC$14))</f>
        <v>2.534459819892358</v>
      </c>
      <c r="P32" s="1">
        <f>ROUND(($N32*(Table!$AE$10/Table!$AE$9)/(Table!$AC$12-Table!$AC$13)),2)</f>
        <v>4.2</v>
      </c>
      <c r="Q32" s="1">
        <f>'Raw Data'!C32</f>
        <v>0</v>
      </c>
      <c r="R32" s="1">
        <f>'Raw Data'!C32/'Raw Data'!I$30*100</f>
        <v>0</v>
      </c>
      <c r="S32" s="128">
        <f t="shared" si="7"/>
        <v>0</v>
      </c>
      <c r="T32" s="128">
        <f t="shared" si="8"/>
        <v>1</v>
      </c>
      <c r="U32" s="5">
        <f t="shared" si="9"/>
        <v>0</v>
      </c>
      <c r="V32" s="5">
        <f t="shared" si="10"/>
        <v>0</v>
      </c>
      <c r="W32" s="5">
        <f t="shared" si="11"/>
        <v>0</v>
      </c>
      <c r="X32" s="104">
        <f t="shared" si="12"/>
        <v>0</v>
      </c>
      <c r="AS32" s="61"/>
      <c r="AT32" s="61"/>
    </row>
    <row r="33" spans="1:46" ht="12.4" customHeight="1" x14ac:dyDescent="0.2">
      <c r="A33" s="1">
        <v>5.763972282409668</v>
      </c>
      <c r="B33" s="42">
        <v>0</v>
      </c>
      <c r="C33" s="42">
        <f t="shared" si="1"/>
        <v>1</v>
      </c>
      <c r="D33" s="72">
        <f t="shared" si="2"/>
        <v>0</v>
      </c>
      <c r="E33" s="126">
        <f>(2*Table!$AC$16*0.147)/A33</f>
        <v>15.9013750890014</v>
      </c>
      <c r="F33" s="126">
        <f t="shared" si="3"/>
        <v>31.8027501780028</v>
      </c>
      <c r="G33" s="1">
        <f>IF((('Raw Data'!C33)/('Raw Data'!C$136)*100)&lt;0,0,('Raw Data'!C33)/('Raw Data'!C$136)*100)</f>
        <v>0</v>
      </c>
      <c r="H33" s="1">
        <f t="shared" si="4"/>
        <v>0</v>
      </c>
      <c r="I33" s="83">
        <f t="shared" si="5"/>
        <v>3.9553008683655966E-2</v>
      </c>
      <c r="J33" s="126">
        <f>'Raw Data'!F33/I33</f>
        <v>0</v>
      </c>
      <c r="K33" s="123">
        <f t="shared" si="6"/>
        <v>1.034300432459739E-2</v>
      </c>
      <c r="L33" s="1">
        <f>A33*Table!$AC$9/$AC$16</f>
        <v>1.2942276931908041</v>
      </c>
      <c r="M33" s="1">
        <f>A33*Table!$AD$9/$AC$16</f>
        <v>0.44373520909399</v>
      </c>
      <c r="N33" s="1">
        <f>ABS(A33*Table!$AE$9/$AC$16)</f>
        <v>0.5604170302922844</v>
      </c>
      <c r="O33" s="1">
        <f>($L33*(Table!$AC$10/Table!$AC$9)/(Table!$AC$12-Table!$AC$14))</f>
        <v>2.7761211780154533</v>
      </c>
      <c r="P33" s="1">
        <f>ROUND(($N33*(Table!$AE$10/Table!$AE$9)/(Table!$AC$12-Table!$AC$13)),2)</f>
        <v>4.5999999999999996</v>
      </c>
      <c r="Q33" s="1">
        <f>'Raw Data'!C33</f>
        <v>0</v>
      </c>
      <c r="R33" s="1">
        <f>'Raw Data'!C33/'Raw Data'!I$30*100</f>
        <v>0</v>
      </c>
      <c r="S33" s="128">
        <f t="shared" si="7"/>
        <v>0</v>
      </c>
      <c r="T33" s="128">
        <f t="shared" si="8"/>
        <v>1</v>
      </c>
      <c r="U33" s="5">
        <f t="shared" si="9"/>
        <v>0</v>
      </c>
      <c r="V33" s="5">
        <f t="shared" si="10"/>
        <v>0</v>
      </c>
      <c r="W33" s="5">
        <f t="shared" si="11"/>
        <v>0</v>
      </c>
      <c r="X33" s="104">
        <f t="shared" si="12"/>
        <v>0</v>
      </c>
      <c r="AS33" s="61"/>
      <c r="AT33" s="61"/>
    </row>
    <row r="34" spans="1:46" ht="12.4" customHeight="1" x14ac:dyDescent="0.2">
      <c r="A34" s="1">
        <v>6.3053379058837891</v>
      </c>
      <c r="B34" s="42">
        <v>0</v>
      </c>
      <c r="C34" s="42">
        <f t="shared" si="1"/>
        <v>1</v>
      </c>
      <c r="D34" s="72">
        <f t="shared" si="2"/>
        <v>0</v>
      </c>
      <c r="E34" s="126">
        <f>(2*Table!$AC$16*0.147)/A34</f>
        <v>14.536109980668321</v>
      </c>
      <c r="F34" s="126">
        <f t="shared" si="3"/>
        <v>29.072219961336643</v>
      </c>
      <c r="G34" s="1">
        <f>IF((('Raw Data'!C34)/('Raw Data'!C$136)*100)&lt;0,0,('Raw Data'!C34)/('Raw Data'!C$136)*100)</f>
        <v>0</v>
      </c>
      <c r="H34" s="1">
        <f t="shared" si="4"/>
        <v>0</v>
      </c>
      <c r="I34" s="83">
        <f t="shared" si="5"/>
        <v>3.8986481841941645E-2</v>
      </c>
      <c r="J34" s="126">
        <f>'Raw Data'!F34/I34</f>
        <v>0</v>
      </c>
      <c r="K34" s="123">
        <f t="shared" si="6"/>
        <v>1.1314443240407087E-2</v>
      </c>
      <c r="L34" s="1">
        <f>A34*Table!$AC$9/$AC$16</f>
        <v>1.4157845549716872</v>
      </c>
      <c r="M34" s="1">
        <f>A34*Table!$AD$9/$AC$16</f>
        <v>0.48541184741886417</v>
      </c>
      <c r="N34" s="1">
        <f>ABS(A34*Table!$AE$9/$AC$16)</f>
        <v>0.61305269544556362</v>
      </c>
      <c r="O34" s="1">
        <f>($L34*(Table!$AC$10/Table!$AC$9)/(Table!$AC$12-Table!$AC$14))</f>
        <v>3.0368609072751767</v>
      </c>
      <c r="P34" s="1">
        <f>ROUND(($N34*(Table!$AE$10/Table!$AE$9)/(Table!$AC$12-Table!$AC$13)),2)</f>
        <v>5.03</v>
      </c>
      <c r="Q34" s="1">
        <f>'Raw Data'!C34</f>
        <v>0</v>
      </c>
      <c r="R34" s="1">
        <f>'Raw Data'!C34/'Raw Data'!I$30*100</f>
        <v>0</v>
      </c>
      <c r="S34" s="128">
        <f t="shared" si="7"/>
        <v>0</v>
      </c>
      <c r="T34" s="128">
        <f t="shared" si="8"/>
        <v>1</v>
      </c>
      <c r="U34" s="5">
        <f t="shared" si="9"/>
        <v>0</v>
      </c>
      <c r="V34" s="5">
        <f t="shared" si="10"/>
        <v>0</v>
      </c>
      <c r="W34" s="5">
        <f t="shared" si="11"/>
        <v>0</v>
      </c>
      <c r="X34" s="104">
        <f t="shared" si="12"/>
        <v>0</v>
      </c>
      <c r="AS34" s="61"/>
      <c r="AT34" s="61"/>
    </row>
    <row r="35" spans="1:46" ht="12.4" customHeight="1" x14ac:dyDescent="0.2">
      <c r="A35" s="1">
        <v>6.8938956260681152</v>
      </c>
      <c r="B35" s="42">
        <v>0</v>
      </c>
      <c r="C35" s="42">
        <f t="shared" si="1"/>
        <v>1</v>
      </c>
      <c r="D35" s="72">
        <f t="shared" si="2"/>
        <v>0</v>
      </c>
      <c r="E35" s="126">
        <f>(2*Table!$AC$16*0.147)/A35</f>
        <v>13.29510776441483</v>
      </c>
      <c r="F35" s="126">
        <f t="shared" si="3"/>
        <v>26.59021552882966</v>
      </c>
      <c r="G35" s="1">
        <f>IF((('Raw Data'!C35)/('Raw Data'!C$136)*100)&lt;0,0,('Raw Data'!C35)/('Raw Data'!C$136)*100)</f>
        <v>0</v>
      </c>
      <c r="H35" s="1">
        <f t="shared" si="4"/>
        <v>0</v>
      </c>
      <c r="I35" s="83">
        <f t="shared" si="5"/>
        <v>3.8756338312417871E-2</v>
      </c>
      <c r="J35" s="126">
        <f>'Raw Data'!F35/I35</f>
        <v>0</v>
      </c>
      <c r="K35" s="123">
        <f t="shared" si="6"/>
        <v>1.2370564739068555E-2</v>
      </c>
      <c r="L35" s="1">
        <f>A35*Table!$AC$9/$AC$16</f>
        <v>1.5479378102585697</v>
      </c>
      <c r="M35" s="1">
        <f>A35*Table!$AD$9/$AC$16</f>
        <v>0.53072153494579533</v>
      </c>
      <c r="N35" s="1">
        <f>ABS(A35*Table!$AE$9/$AC$16)</f>
        <v>0.67027673358118878</v>
      </c>
      <c r="O35" s="1">
        <f>($L35*(Table!$AC$10/Table!$AC$9)/(Table!$AC$12-Table!$AC$14))</f>
        <v>3.320329923334556</v>
      </c>
      <c r="P35" s="1">
        <f>ROUND(($N35*(Table!$AE$10/Table!$AE$9)/(Table!$AC$12-Table!$AC$13)),2)</f>
        <v>5.5</v>
      </c>
      <c r="Q35" s="1">
        <f>'Raw Data'!C35</f>
        <v>0</v>
      </c>
      <c r="R35" s="1">
        <f>'Raw Data'!C35/'Raw Data'!I$30*100</f>
        <v>0</v>
      </c>
      <c r="S35" s="128">
        <f t="shared" si="7"/>
        <v>0</v>
      </c>
      <c r="T35" s="128">
        <f t="shared" si="8"/>
        <v>1</v>
      </c>
      <c r="U35" s="5">
        <f t="shared" si="9"/>
        <v>0</v>
      </c>
      <c r="V35" s="5">
        <f t="shared" si="10"/>
        <v>0</v>
      </c>
      <c r="W35" s="5">
        <f t="shared" si="11"/>
        <v>0</v>
      </c>
      <c r="X35" s="104">
        <f t="shared" si="12"/>
        <v>0</v>
      </c>
      <c r="AS35" s="61"/>
      <c r="AT35" s="61"/>
    </row>
    <row r="36" spans="1:46" ht="12.4" customHeight="1" x14ac:dyDescent="0.2">
      <c r="A36" s="1">
        <v>7.542360782623291</v>
      </c>
      <c r="B36" s="42">
        <v>0</v>
      </c>
      <c r="C36" s="42">
        <f t="shared" si="1"/>
        <v>1</v>
      </c>
      <c r="D36" s="72">
        <f t="shared" si="2"/>
        <v>0</v>
      </c>
      <c r="E36" s="126">
        <f>(2*Table!$AC$16*0.147)/A36</f>
        <v>12.152042033890256</v>
      </c>
      <c r="F36" s="126">
        <f t="shared" si="3"/>
        <v>24.304084067780511</v>
      </c>
      <c r="G36" s="1">
        <f>IF((('Raw Data'!C36)/('Raw Data'!C$136)*100)&lt;0,0,('Raw Data'!C36)/('Raw Data'!C$136)*100)</f>
        <v>0</v>
      </c>
      <c r="H36" s="1">
        <f t="shared" si="4"/>
        <v>0</v>
      </c>
      <c r="I36" s="83">
        <f t="shared" si="5"/>
        <v>3.9042598804676309E-2</v>
      </c>
      <c r="J36" s="126">
        <f>'Raw Data'!F36/I36</f>
        <v>0</v>
      </c>
      <c r="K36" s="123">
        <f t="shared" si="6"/>
        <v>1.3534185518278299E-2</v>
      </c>
      <c r="L36" s="1">
        <f>A36*Table!$AC$9/$AC$16</f>
        <v>1.6935425291161279</v>
      </c>
      <c r="M36" s="1">
        <f>A36*Table!$AD$9/$AC$16</f>
        <v>0.58064315283981527</v>
      </c>
      <c r="N36" s="1">
        <f>ABS(A36*Table!$AE$9/$AC$16)</f>
        <v>0.73332542630195707</v>
      </c>
      <c r="O36" s="1">
        <f>($L36*(Table!$AC$10/Table!$AC$9)/(Table!$AC$12-Table!$AC$14))</f>
        <v>3.6326523576064522</v>
      </c>
      <c r="P36" s="1">
        <f>ROUND(($N36*(Table!$AE$10/Table!$AE$9)/(Table!$AC$12-Table!$AC$13)),2)</f>
        <v>6.02</v>
      </c>
      <c r="Q36" s="1">
        <f>'Raw Data'!C36</f>
        <v>0</v>
      </c>
      <c r="R36" s="1">
        <f>'Raw Data'!C36/'Raw Data'!I$30*100</f>
        <v>0</v>
      </c>
      <c r="S36" s="128">
        <f t="shared" si="7"/>
        <v>0</v>
      </c>
      <c r="T36" s="128">
        <f t="shared" si="8"/>
        <v>1</v>
      </c>
      <c r="U36" s="5">
        <f t="shared" si="9"/>
        <v>0</v>
      </c>
      <c r="V36" s="5">
        <f t="shared" si="10"/>
        <v>0</v>
      </c>
      <c r="W36" s="5">
        <f t="shared" si="11"/>
        <v>0</v>
      </c>
      <c r="X36" s="104">
        <f t="shared" si="12"/>
        <v>0</v>
      </c>
      <c r="AS36" s="61"/>
      <c r="AT36" s="61"/>
    </row>
    <row r="37" spans="1:46" ht="12.4" customHeight="1" x14ac:dyDescent="0.2">
      <c r="A37" s="1">
        <v>8.2497549057006836</v>
      </c>
      <c r="B37" s="42">
        <v>0</v>
      </c>
      <c r="C37" s="42">
        <f t="shared" si="1"/>
        <v>1</v>
      </c>
      <c r="D37" s="72">
        <f t="shared" si="2"/>
        <v>0</v>
      </c>
      <c r="E37" s="126">
        <f>(2*Table!$AC$16*0.147)/A37</f>
        <v>11.11003736630634</v>
      </c>
      <c r="F37" s="126">
        <f t="shared" si="3"/>
        <v>22.22007473261268</v>
      </c>
      <c r="G37" s="1">
        <f>IF((('Raw Data'!C37)/('Raw Data'!C$136)*100)&lt;0,0,('Raw Data'!C37)/('Raw Data'!C$136)*100)</f>
        <v>0</v>
      </c>
      <c r="H37" s="1">
        <f t="shared" si="4"/>
        <v>0</v>
      </c>
      <c r="I37" s="83">
        <f t="shared" si="5"/>
        <v>3.8933743478377414E-2</v>
      </c>
      <c r="J37" s="126">
        <f>'Raw Data'!F37/I37</f>
        <v>0</v>
      </c>
      <c r="K37" s="123">
        <f t="shared" si="6"/>
        <v>1.4803549789253854E-2</v>
      </c>
      <c r="L37" s="1">
        <f>A37*Table!$AC$9/$AC$16</f>
        <v>1.8523790084103071</v>
      </c>
      <c r="M37" s="1">
        <f>A37*Table!$AD$9/$AC$16</f>
        <v>0.63510137431210534</v>
      </c>
      <c r="N37" s="1">
        <f>ABS(A37*Table!$AE$9/$AC$16)</f>
        <v>0.80210363936017715</v>
      </c>
      <c r="O37" s="1">
        <f>($L37*(Table!$AC$10/Table!$AC$9)/(Table!$AC$12-Table!$AC$14))</f>
        <v>3.9733569463970557</v>
      </c>
      <c r="P37" s="1">
        <f>ROUND(($N37*(Table!$AE$10/Table!$AE$9)/(Table!$AC$12-Table!$AC$13)),2)</f>
        <v>6.59</v>
      </c>
      <c r="Q37" s="1">
        <f>'Raw Data'!C37</f>
        <v>0</v>
      </c>
      <c r="R37" s="1">
        <f>'Raw Data'!C37/'Raw Data'!I$30*100</f>
        <v>0</v>
      </c>
      <c r="S37" s="128">
        <f t="shared" si="7"/>
        <v>0</v>
      </c>
      <c r="T37" s="128">
        <f t="shared" si="8"/>
        <v>1</v>
      </c>
      <c r="U37" s="5">
        <f t="shared" si="9"/>
        <v>0</v>
      </c>
      <c r="V37" s="5">
        <f t="shared" si="10"/>
        <v>0</v>
      </c>
      <c r="W37" s="5">
        <f t="shared" si="11"/>
        <v>0</v>
      </c>
      <c r="X37" s="104">
        <f t="shared" si="12"/>
        <v>0</v>
      </c>
      <c r="AS37" s="61"/>
      <c r="AT37" s="61"/>
    </row>
    <row r="38" spans="1:46" ht="12.4" customHeight="1" x14ac:dyDescent="0.2">
      <c r="A38" s="1">
        <v>9.0262670516967773</v>
      </c>
      <c r="B38" s="42">
        <v>0</v>
      </c>
      <c r="C38" s="42">
        <f t="shared" si="1"/>
        <v>1</v>
      </c>
      <c r="D38" s="72">
        <f t="shared" si="2"/>
        <v>0</v>
      </c>
      <c r="E38" s="126">
        <f>(2*Table!$AC$16*0.147)/A38</f>
        <v>10.154262525168045</v>
      </c>
      <c r="F38" s="126">
        <f t="shared" si="3"/>
        <v>20.30852505033609</v>
      </c>
      <c r="G38" s="1">
        <f>IF((('Raw Data'!C38)/('Raw Data'!C$136)*100)&lt;0,0,('Raw Data'!C38)/('Raw Data'!C$136)*100)</f>
        <v>0</v>
      </c>
      <c r="H38" s="1">
        <f t="shared" si="4"/>
        <v>0</v>
      </c>
      <c r="I38" s="83">
        <f t="shared" si="5"/>
        <v>3.9067132273563621E-2</v>
      </c>
      <c r="J38" s="126">
        <f>'Raw Data'!F38/I38</f>
        <v>0</v>
      </c>
      <c r="K38" s="123">
        <f t="shared" si="6"/>
        <v>1.6196941028946352E-2</v>
      </c>
      <c r="L38" s="1">
        <f>A38*Table!$AC$9/$AC$16</f>
        <v>2.0267350729795535</v>
      </c>
      <c r="M38" s="1">
        <f>A38*Table!$AD$9/$AC$16</f>
        <v>0.69488059645013256</v>
      </c>
      <c r="N38" s="1">
        <f>ABS(A38*Table!$AE$9/$AC$16)</f>
        <v>0.87760202997060066</v>
      </c>
      <c r="O38" s="1">
        <f>($L38*(Table!$AC$10/Table!$AC$9)/(Table!$AC$12-Table!$AC$14))</f>
        <v>4.3473510788922214</v>
      </c>
      <c r="P38" s="1">
        <f>ROUND(($N38*(Table!$AE$10/Table!$AE$9)/(Table!$AC$12-Table!$AC$13)),2)</f>
        <v>7.21</v>
      </c>
      <c r="Q38" s="1">
        <f>'Raw Data'!C38</f>
        <v>0</v>
      </c>
      <c r="R38" s="1">
        <f>'Raw Data'!C38/'Raw Data'!I$30*100</f>
        <v>0</v>
      </c>
      <c r="S38" s="128">
        <f t="shared" si="7"/>
        <v>0</v>
      </c>
      <c r="T38" s="128">
        <f t="shared" si="8"/>
        <v>1</v>
      </c>
      <c r="U38" s="5">
        <f t="shared" si="9"/>
        <v>0</v>
      </c>
      <c r="V38" s="5">
        <f t="shared" si="10"/>
        <v>0</v>
      </c>
      <c r="W38" s="5">
        <f t="shared" si="11"/>
        <v>0</v>
      </c>
      <c r="X38" s="104">
        <f t="shared" si="12"/>
        <v>0</v>
      </c>
      <c r="AS38" s="61"/>
      <c r="AT38" s="61"/>
    </row>
    <row r="39" spans="1:46" ht="12.4" customHeight="1" x14ac:dyDescent="0.2">
      <c r="A39" s="1">
        <v>9.8776836395263672</v>
      </c>
      <c r="B39" s="42">
        <v>0</v>
      </c>
      <c r="C39" s="42">
        <f t="shared" si="1"/>
        <v>1</v>
      </c>
      <c r="D39" s="72">
        <f t="shared" si="2"/>
        <v>0</v>
      </c>
      <c r="E39" s="126">
        <f>(2*Table!$AC$16*0.147)/A39</f>
        <v>9.2790059501843363</v>
      </c>
      <c r="F39" s="126">
        <f t="shared" si="3"/>
        <v>18.558011900368673</v>
      </c>
      <c r="G39" s="1">
        <f>IF((('Raw Data'!C39)/('Raw Data'!C$136)*100)&lt;0,0,('Raw Data'!C39)/('Raw Data'!C$136)*100)</f>
        <v>0</v>
      </c>
      <c r="H39" s="1">
        <f t="shared" si="4"/>
        <v>0</v>
      </c>
      <c r="I39" s="83">
        <f t="shared" si="5"/>
        <v>3.91469341138867E-2</v>
      </c>
      <c r="J39" s="126">
        <f>'Raw Data'!F39/I39</f>
        <v>0</v>
      </c>
      <c r="K39" s="123">
        <f t="shared" si="6"/>
        <v>1.7724742520433382E-2</v>
      </c>
      <c r="L39" s="1">
        <f>A39*Table!$AC$9/$AC$16</f>
        <v>2.2179099906268687</v>
      </c>
      <c r="M39" s="1">
        <f>A39*Table!$AD$9/$AC$16</f>
        <v>0.76042628250064059</v>
      </c>
      <c r="N39" s="1">
        <f>ABS(A39*Table!$AE$9/$AC$16)</f>
        <v>0.96038319759508717</v>
      </c>
      <c r="O39" s="1">
        <f>($L39*(Table!$AC$10/Table!$AC$9)/(Table!$AC$12-Table!$AC$14))</f>
        <v>4.7574216873163211</v>
      </c>
      <c r="P39" s="1">
        <f>ROUND(($N39*(Table!$AE$10/Table!$AE$9)/(Table!$AC$12-Table!$AC$13)),2)</f>
        <v>7.88</v>
      </c>
      <c r="Q39" s="1">
        <f>'Raw Data'!C39</f>
        <v>0</v>
      </c>
      <c r="R39" s="1">
        <f>'Raw Data'!C39/'Raw Data'!I$30*100</f>
        <v>0</v>
      </c>
      <c r="S39" s="128">
        <f t="shared" si="7"/>
        <v>0</v>
      </c>
      <c r="T39" s="128">
        <f t="shared" si="8"/>
        <v>1</v>
      </c>
      <c r="U39" s="5">
        <f t="shared" si="9"/>
        <v>0</v>
      </c>
      <c r="V39" s="5">
        <f t="shared" si="10"/>
        <v>0</v>
      </c>
      <c r="W39" s="5">
        <f t="shared" si="11"/>
        <v>0</v>
      </c>
      <c r="X39" s="104">
        <f t="shared" si="12"/>
        <v>0</v>
      </c>
      <c r="AS39" s="61"/>
      <c r="AT39" s="61"/>
    </row>
    <row r="40" spans="1:46" ht="12.4" customHeight="1" x14ac:dyDescent="0.2">
      <c r="A40" s="1">
        <v>10.782322883605957</v>
      </c>
      <c r="B40" s="42">
        <v>0</v>
      </c>
      <c r="C40" s="42">
        <f t="shared" si="1"/>
        <v>1</v>
      </c>
      <c r="D40" s="72">
        <f t="shared" si="2"/>
        <v>0</v>
      </c>
      <c r="E40" s="126">
        <f>(2*Table!$AC$16*0.147)/A40</f>
        <v>8.5004953250436532</v>
      </c>
      <c r="F40" s="126">
        <f t="shared" si="3"/>
        <v>17.000990650087306</v>
      </c>
      <c r="G40" s="1">
        <f>IF((('Raw Data'!C40)/('Raw Data'!C$136)*100)&lt;0,0,('Raw Data'!C40)/('Raw Data'!C$136)*100)</f>
        <v>0</v>
      </c>
      <c r="H40" s="1">
        <f t="shared" si="4"/>
        <v>0</v>
      </c>
      <c r="I40" s="83">
        <f t="shared" si="5"/>
        <v>3.8057220363859612E-2</v>
      </c>
      <c r="J40" s="126">
        <f>'Raw Data'!F40/I40</f>
        <v>0</v>
      </c>
      <c r="K40" s="123">
        <f t="shared" si="6"/>
        <v>1.934804796939784E-2</v>
      </c>
      <c r="L40" s="1">
        <f>A40*Table!$AC$9/$AC$16</f>
        <v>2.4210353882988946</v>
      </c>
      <c r="M40" s="1">
        <f>A40*Table!$AD$9/$AC$16</f>
        <v>0.83006927598819247</v>
      </c>
      <c r="N40" s="1">
        <f>ABS(A40*Table!$AE$9/$AC$16)</f>
        <v>1.0483390748639827</v>
      </c>
      <c r="O40" s="1">
        <f>($L40*(Table!$AC$10/Table!$AC$9)/(Table!$AC$12-Table!$AC$14))</f>
        <v>5.1931261010272305</v>
      </c>
      <c r="P40" s="1">
        <f>ROUND(($N40*(Table!$AE$10/Table!$AE$9)/(Table!$AC$12-Table!$AC$13)),2)</f>
        <v>8.61</v>
      </c>
      <c r="Q40" s="1">
        <f>'Raw Data'!C40</f>
        <v>0</v>
      </c>
      <c r="R40" s="1">
        <f>'Raw Data'!C40/'Raw Data'!I$30*100</f>
        <v>0</v>
      </c>
      <c r="S40" s="128">
        <f t="shared" si="7"/>
        <v>0</v>
      </c>
      <c r="T40" s="128">
        <f t="shared" si="8"/>
        <v>1</v>
      </c>
      <c r="U40" s="5">
        <f t="shared" si="9"/>
        <v>0</v>
      </c>
      <c r="V40" s="5">
        <f t="shared" si="10"/>
        <v>0</v>
      </c>
      <c r="W40" s="5">
        <f t="shared" si="11"/>
        <v>0</v>
      </c>
      <c r="X40" s="104">
        <f t="shared" si="12"/>
        <v>0</v>
      </c>
      <c r="AS40" s="61"/>
      <c r="AT40" s="61"/>
    </row>
    <row r="41" spans="1:46" ht="12.4" customHeight="1" x14ac:dyDescent="0.2">
      <c r="A41" s="1">
        <v>11.883312225341797</v>
      </c>
      <c r="B41" s="42">
        <v>0</v>
      </c>
      <c r="C41" s="42">
        <f t="shared" si="1"/>
        <v>1</v>
      </c>
      <c r="D41" s="72">
        <f t="shared" si="2"/>
        <v>0</v>
      </c>
      <c r="E41" s="126">
        <f>(2*Table!$AC$16*0.147)/A41</f>
        <v>7.712924101223587</v>
      </c>
      <c r="F41" s="126">
        <f t="shared" si="3"/>
        <v>15.425848202447174</v>
      </c>
      <c r="G41" s="1">
        <f>IF((('Raw Data'!C41)/('Raw Data'!C$136)*100)&lt;0,0,('Raw Data'!C41)/('Raw Data'!C$136)*100)</f>
        <v>0</v>
      </c>
      <c r="H41" s="1">
        <f t="shared" si="4"/>
        <v>0</v>
      </c>
      <c r="I41" s="83">
        <f t="shared" si="5"/>
        <v>4.2225175128468129E-2</v>
      </c>
      <c r="J41" s="126">
        <f>'Raw Data'!F41/I41</f>
        <v>0</v>
      </c>
      <c r="K41" s="123">
        <f t="shared" si="6"/>
        <v>2.1323688545890829E-2</v>
      </c>
      <c r="L41" s="1">
        <f>A41*Table!$AC$9/$AC$16</f>
        <v>2.6682487380804338</v>
      </c>
      <c r="M41" s="1">
        <f>A41*Table!$AD$9/$AC$16</f>
        <v>0.91482813877043445</v>
      </c>
      <c r="N41" s="1">
        <f>ABS(A41*Table!$AE$9/$AC$16)</f>
        <v>1.1553855953967134</v>
      </c>
      <c r="O41" s="1">
        <f>($L41*(Table!$AC$10/Table!$AC$9)/(Table!$AC$12-Table!$AC$14))</f>
        <v>5.7233992665817981</v>
      </c>
      <c r="P41" s="1">
        <f>ROUND(($N41*(Table!$AE$10/Table!$AE$9)/(Table!$AC$12-Table!$AC$13)),2)</f>
        <v>9.49</v>
      </c>
      <c r="Q41" s="1">
        <f>'Raw Data'!C41</f>
        <v>0</v>
      </c>
      <c r="R41" s="1">
        <f>'Raw Data'!C41/'Raw Data'!I$30*100</f>
        <v>0</v>
      </c>
      <c r="S41" s="128">
        <f t="shared" si="7"/>
        <v>0</v>
      </c>
      <c r="T41" s="128">
        <f t="shared" si="8"/>
        <v>1</v>
      </c>
      <c r="U41" s="5">
        <f t="shared" si="9"/>
        <v>0</v>
      </c>
      <c r="V41" s="5">
        <f t="shared" si="10"/>
        <v>0</v>
      </c>
      <c r="W41" s="5">
        <f t="shared" si="11"/>
        <v>0</v>
      </c>
      <c r="X41" s="104">
        <f t="shared" si="12"/>
        <v>0</v>
      </c>
      <c r="AS41" s="61"/>
      <c r="AT41" s="61"/>
    </row>
    <row r="42" spans="1:46" ht="12.4" customHeight="1" x14ac:dyDescent="0.2">
      <c r="A42" s="1">
        <v>12.884048461914062</v>
      </c>
      <c r="B42" s="42">
        <v>0</v>
      </c>
      <c r="C42" s="42">
        <f t="shared" si="1"/>
        <v>1</v>
      </c>
      <c r="D42" s="72">
        <f t="shared" si="2"/>
        <v>0</v>
      </c>
      <c r="E42" s="126">
        <f>(2*Table!$AC$16*0.147)/A42</f>
        <v>7.1138420144988572</v>
      </c>
      <c r="F42" s="126">
        <f t="shared" si="3"/>
        <v>14.227684028997714</v>
      </c>
      <c r="G42" s="1">
        <f>IF((('Raw Data'!C42)/('Raw Data'!C$136)*100)&lt;0,0,('Raw Data'!C42)/('Raw Data'!C$136)*100)</f>
        <v>0</v>
      </c>
      <c r="H42" s="1">
        <f t="shared" si="4"/>
        <v>0</v>
      </c>
      <c r="I42" s="83">
        <f t="shared" si="5"/>
        <v>3.5114841657177598E-2</v>
      </c>
      <c r="J42" s="126">
        <f>'Raw Data'!F42/I42</f>
        <v>0</v>
      </c>
      <c r="K42" s="123">
        <f t="shared" si="6"/>
        <v>2.3119432646575695E-2</v>
      </c>
      <c r="L42" s="1">
        <f>A42*Table!$AC$9/$AC$16</f>
        <v>2.8929515103168595</v>
      </c>
      <c r="M42" s="1">
        <f>A42*Table!$AD$9/$AC$16</f>
        <v>0.99186908925149464</v>
      </c>
      <c r="N42" s="1">
        <f>ABS(A42*Table!$AE$9/$AC$16)</f>
        <v>1.2526847499254801</v>
      </c>
      <c r="O42" s="1">
        <f>($L42*(Table!$AC$10/Table!$AC$9)/(Table!$AC$12-Table!$AC$14))</f>
        <v>6.2053871950168595</v>
      </c>
      <c r="P42" s="1">
        <f>ROUND(($N42*(Table!$AE$10/Table!$AE$9)/(Table!$AC$12-Table!$AC$13)),2)</f>
        <v>10.28</v>
      </c>
      <c r="Q42" s="1">
        <f>'Raw Data'!C42</f>
        <v>0</v>
      </c>
      <c r="R42" s="1">
        <f>'Raw Data'!C42/'Raw Data'!I$30*100</f>
        <v>0</v>
      </c>
      <c r="S42" s="128">
        <f t="shared" si="7"/>
        <v>0</v>
      </c>
      <c r="T42" s="128">
        <f t="shared" si="8"/>
        <v>1</v>
      </c>
      <c r="U42" s="5">
        <f t="shared" si="9"/>
        <v>0</v>
      </c>
      <c r="V42" s="5">
        <f t="shared" si="10"/>
        <v>0</v>
      </c>
      <c r="W42" s="5">
        <f t="shared" si="11"/>
        <v>0</v>
      </c>
      <c r="X42" s="104">
        <f t="shared" si="12"/>
        <v>0</v>
      </c>
      <c r="AS42" s="61"/>
      <c r="AT42" s="61"/>
    </row>
    <row r="43" spans="1:46" ht="12.4" customHeight="1" x14ac:dyDescent="0.2">
      <c r="A43" s="1">
        <v>14.184564590454102</v>
      </c>
      <c r="B43" s="42">
        <v>0</v>
      </c>
      <c r="C43" s="42">
        <f t="shared" si="1"/>
        <v>1</v>
      </c>
      <c r="D43" s="72">
        <f t="shared" si="2"/>
        <v>0</v>
      </c>
      <c r="E43" s="126">
        <f>(2*Table!$AC$16*0.147)/A43</f>
        <v>6.4616072407950744</v>
      </c>
      <c r="F43" s="126">
        <f t="shared" si="3"/>
        <v>12.923214481590149</v>
      </c>
      <c r="G43" s="1">
        <f>IF((('Raw Data'!C43)/('Raw Data'!C$136)*100)&lt;0,0,('Raw Data'!C43)/('Raw Data'!C$136)*100)</f>
        <v>0</v>
      </c>
      <c r="H43" s="1">
        <f t="shared" si="4"/>
        <v>0</v>
      </c>
      <c r="I43" s="83">
        <f t="shared" si="5"/>
        <v>4.1763659527351171E-2</v>
      </c>
      <c r="J43" s="126">
        <f>'Raw Data'!F43/I43</f>
        <v>0</v>
      </c>
      <c r="K43" s="123">
        <f t="shared" si="6"/>
        <v>2.5453108674607337E-2</v>
      </c>
      <c r="L43" s="1">
        <f>A43*Table!$AC$9/$AC$16</f>
        <v>3.1849660979189625</v>
      </c>
      <c r="M43" s="1">
        <f>A43*Table!$AD$9/$AC$16</f>
        <v>1.0919883764293585</v>
      </c>
      <c r="N43" s="1">
        <f>ABS(A43*Table!$AE$9/$AC$16)</f>
        <v>1.3791307754950086</v>
      </c>
      <c r="O43" s="1">
        <f>($L43*(Table!$AC$10/Table!$AC$9)/(Table!$AC$12-Table!$AC$14))</f>
        <v>6.8317591117952867</v>
      </c>
      <c r="P43" s="1">
        <f>ROUND(($N43*(Table!$AE$10/Table!$AE$9)/(Table!$AC$12-Table!$AC$13)),2)</f>
        <v>11.32</v>
      </c>
      <c r="Q43" s="1">
        <f>'Raw Data'!C43</f>
        <v>0</v>
      </c>
      <c r="R43" s="1">
        <f>'Raw Data'!C43/'Raw Data'!I$30*100</f>
        <v>0</v>
      </c>
      <c r="S43" s="128">
        <f t="shared" si="7"/>
        <v>0</v>
      </c>
      <c r="T43" s="128">
        <f t="shared" si="8"/>
        <v>1</v>
      </c>
      <c r="U43" s="5">
        <f t="shared" si="9"/>
        <v>0</v>
      </c>
      <c r="V43" s="5">
        <f t="shared" si="10"/>
        <v>0</v>
      </c>
      <c r="W43" s="5">
        <f t="shared" si="11"/>
        <v>0</v>
      </c>
      <c r="X43" s="104">
        <f t="shared" si="12"/>
        <v>0</v>
      </c>
      <c r="AS43" s="61"/>
      <c r="AT43" s="61"/>
    </row>
    <row r="44" spans="1:46" ht="12.4" customHeight="1" x14ac:dyDescent="0.2">
      <c r="A44" s="1">
        <v>15.478479385375977</v>
      </c>
      <c r="B44" s="42">
        <v>0</v>
      </c>
      <c r="C44" s="42">
        <f t="shared" si="1"/>
        <v>1</v>
      </c>
      <c r="D44" s="72">
        <f t="shared" si="2"/>
        <v>0</v>
      </c>
      <c r="E44" s="126">
        <f>(2*Table!$AC$16*0.147)/A44</f>
        <v>5.9214528109136548</v>
      </c>
      <c r="F44" s="126">
        <f t="shared" si="3"/>
        <v>11.84290562182731</v>
      </c>
      <c r="G44" s="1">
        <f>IF((('Raw Data'!C44)/('Raw Data'!C$136)*100)&lt;0,0,('Raw Data'!C44)/('Raw Data'!C$136)*100)</f>
        <v>0</v>
      </c>
      <c r="H44" s="1">
        <f t="shared" si="4"/>
        <v>0</v>
      </c>
      <c r="I44" s="83">
        <f t="shared" si="5"/>
        <v>3.791228387697354E-2</v>
      </c>
      <c r="J44" s="126">
        <f>'Raw Data'!F44/I44</f>
        <v>0</v>
      </c>
      <c r="K44" s="123">
        <f t="shared" si="6"/>
        <v>2.7774939117890224E-2</v>
      </c>
      <c r="L44" s="1">
        <f>A44*Table!$AC$9/$AC$16</f>
        <v>3.475498438840821</v>
      </c>
      <c r="M44" s="1">
        <f>A44*Table!$AD$9/$AC$16</f>
        <v>1.1915994647454244</v>
      </c>
      <c r="N44" s="1">
        <f>ABS(A44*Table!$AE$9/$AC$16)</f>
        <v>1.5049349694246541</v>
      </c>
      <c r="O44" s="1">
        <f>($L44*(Table!$AC$10/Table!$AC$9)/(Table!$AC$12-Table!$AC$14))</f>
        <v>7.4549516062651682</v>
      </c>
      <c r="P44" s="1">
        <f>ROUND(($N44*(Table!$AE$10/Table!$AE$9)/(Table!$AC$12-Table!$AC$13)),2)</f>
        <v>12.36</v>
      </c>
      <c r="Q44" s="1">
        <f>'Raw Data'!C44</f>
        <v>0</v>
      </c>
      <c r="R44" s="1">
        <f>'Raw Data'!C44/'Raw Data'!I$30*100</f>
        <v>0</v>
      </c>
      <c r="S44" s="128">
        <f t="shared" si="7"/>
        <v>0</v>
      </c>
      <c r="T44" s="128">
        <f t="shared" si="8"/>
        <v>1</v>
      </c>
      <c r="U44" s="5">
        <f t="shared" si="9"/>
        <v>0</v>
      </c>
      <c r="V44" s="5">
        <f t="shared" si="10"/>
        <v>0</v>
      </c>
      <c r="W44" s="5">
        <f t="shared" si="11"/>
        <v>0</v>
      </c>
      <c r="X44" s="104">
        <f t="shared" si="12"/>
        <v>0</v>
      </c>
      <c r="AS44" s="61"/>
      <c r="AT44" s="61"/>
    </row>
    <row r="45" spans="1:46" ht="12.4" customHeight="1" x14ac:dyDescent="0.2">
      <c r="A45" s="1">
        <v>16.87272834777832</v>
      </c>
      <c r="B45" s="42">
        <v>0</v>
      </c>
      <c r="C45" s="42">
        <f t="shared" si="1"/>
        <v>1</v>
      </c>
      <c r="D45" s="72">
        <f t="shared" si="2"/>
        <v>0</v>
      </c>
      <c r="E45" s="126">
        <f>(2*Table!$AC$16*0.147)/A45</f>
        <v>5.4321437159433748</v>
      </c>
      <c r="F45" s="126">
        <f t="shared" si="3"/>
        <v>10.86428743188675</v>
      </c>
      <c r="G45" s="1">
        <f>IF((('Raw Data'!C45)/('Raw Data'!C$136)*100)&lt;0,0,('Raw Data'!C45)/('Raw Data'!C$136)*100)</f>
        <v>0</v>
      </c>
      <c r="H45" s="1">
        <f t="shared" si="4"/>
        <v>0</v>
      </c>
      <c r="I45" s="83">
        <f t="shared" si="5"/>
        <v>3.7457021290425163E-2</v>
      </c>
      <c r="J45" s="126">
        <f>'Raw Data'!F45/I45</f>
        <v>0</v>
      </c>
      <c r="K45" s="123">
        <f t="shared" si="6"/>
        <v>3.0276811497065539E-2</v>
      </c>
      <c r="L45" s="1">
        <f>A45*Table!$AC$9/$AC$16</f>
        <v>3.788559558834494</v>
      </c>
      <c r="M45" s="1">
        <f>A45*Table!$AD$9/$AC$16</f>
        <v>1.2989347058861123</v>
      </c>
      <c r="N45" s="1">
        <f>ABS(A45*Table!$AE$9/$AC$16)</f>
        <v>1.6404944108505188</v>
      </c>
      <c r="O45" s="1">
        <f>($L45*(Table!$AC$10/Table!$AC$9)/(Table!$AC$12-Table!$AC$14))</f>
        <v>8.1264683801683706</v>
      </c>
      <c r="P45" s="1">
        <f>ROUND(($N45*(Table!$AE$10/Table!$AE$9)/(Table!$AC$12-Table!$AC$13)),2)</f>
        <v>13.47</v>
      </c>
      <c r="Q45" s="1">
        <f>'Raw Data'!C45</f>
        <v>0</v>
      </c>
      <c r="R45" s="1">
        <f>'Raw Data'!C45/'Raw Data'!I$30*100</f>
        <v>0</v>
      </c>
      <c r="S45" s="128">
        <f t="shared" si="7"/>
        <v>0</v>
      </c>
      <c r="T45" s="128">
        <f t="shared" si="8"/>
        <v>1</v>
      </c>
      <c r="U45" s="5">
        <f t="shared" si="9"/>
        <v>0</v>
      </c>
      <c r="V45" s="5">
        <f t="shared" si="10"/>
        <v>0</v>
      </c>
      <c r="W45" s="5">
        <f t="shared" si="11"/>
        <v>0</v>
      </c>
      <c r="X45" s="104">
        <f t="shared" si="12"/>
        <v>0</v>
      </c>
      <c r="AS45" s="61"/>
      <c r="AT45" s="61"/>
    </row>
    <row r="46" spans="1:46" ht="12.4" customHeight="1" x14ac:dyDescent="0.2">
      <c r="A46" s="1">
        <v>18.472209930419922</v>
      </c>
      <c r="B46" s="42">
        <v>0</v>
      </c>
      <c r="C46" s="42">
        <f t="shared" si="1"/>
        <v>1</v>
      </c>
      <c r="D46" s="72">
        <f t="shared" si="2"/>
        <v>0</v>
      </c>
      <c r="E46" s="126">
        <f>(2*Table!$AC$16*0.147)/A46</f>
        <v>4.9617823536244359</v>
      </c>
      <c r="F46" s="126">
        <f t="shared" si="3"/>
        <v>9.9235647072488717</v>
      </c>
      <c r="G46" s="1">
        <f>IF((('Raw Data'!C46)/('Raw Data'!C$136)*100)&lt;0,0,('Raw Data'!C46)/('Raw Data'!C$136)*100)</f>
        <v>0</v>
      </c>
      <c r="H46" s="1">
        <f t="shared" si="4"/>
        <v>0</v>
      </c>
      <c r="I46" s="83">
        <f t="shared" si="5"/>
        <v>3.9333541151281626E-2</v>
      </c>
      <c r="J46" s="126">
        <f>'Raw Data'!F46/I46</f>
        <v>0</v>
      </c>
      <c r="K46" s="123">
        <f t="shared" si="6"/>
        <v>3.3146958006420348E-2</v>
      </c>
      <c r="L46" s="1">
        <f>A46*Table!$AC$9/$AC$16</f>
        <v>4.1477030899928362</v>
      </c>
      <c r="M46" s="1">
        <f>A46*Table!$AD$9/$AC$16</f>
        <v>1.4220696308546867</v>
      </c>
      <c r="N46" s="1">
        <f>ABS(A46*Table!$AE$9/$AC$16)</f>
        <v>1.7960081216445047</v>
      </c>
      <c r="O46" s="1">
        <f>($L46*(Table!$AC$10/Table!$AC$9)/(Table!$AC$12-Table!$AC$14))</f>
        <v>8.8968320248666597</v>
      </c>
      <c r="P46" s="1">
        <f>ROUND(($N46*(Table!$AE$10/Table!$AE$9)/(Table!$AC$12-Table!$AC$13)),2)</f>
        <v>14.75</v>
      </c>
      <c r="Q46" s="1">
        <f>'Raw Data'!C46</f>
        <v>0</v>
      </c>
      <c r="R46" s="1">
        <f>'Raw Data'!C46/'Raw Data'!I$30*100</f>
        <v>0</v>
      </c>
      <c r="S46" s="128">
        <f t="shared" si="7"/>
        <v>0</v>
      </c>
      <c r="T46" s="128">
        <f t="shared" si="8"/>
        <v>1</v>
      </c>
      <c r="U46" s="5">
        <f t="shared" si="9"/>
        <v>0</v>
      </c>
      <c r="V46" s="5">
        <f t="shared" si="10"/>
        <v>0</v>
      </c>
      <c r="W46" s="5">
        <f t="shared" si="11"/>
        <v>0</v>
      </c>
      <c r="X46" s="104">
        <f t="shared" si="12"/>
        <v>0</v>
      </c>
      <c r="AS46" s="61"/>
      <c r="AT46" s="61"/>
    </row>
    <row r="47" spans="1:46" ht="12.4" customHeight="1" x14ac:dyDescent="0.2">
      <c r="A47" s="1">
        <v>20.266654968261719</v>
      </c>
      <c r="B47" s="42">
        <v>0</v>
      </c>
      <c r="C47" s="42">
        <f t="shared" si="1"/>
        <v>1</v>
      </c>
      <c r="D47" s="72">
        <f t="shared" si="2"/>
        <v>0</v>
      </c>
      <c r="E47" s="126">
        <f>(2*Table!$AC$16*0.147)/A47</f>
        <v>4.5224574755300599</v>
      </c>
      <c r="F47" s="126">
        <f t="shared" si="3"/>
        <v>9.0449149510601199</v>
      </c>
      <c r="G47" s="1">
        <f>IF((('Raw Data'!C47)/('Raw Data'!C$136)*100)&lt;0,0,('Raw Data'!C47)/('Raw Data'!C$136)*100)</f>
        <v>0</v>
      </c>
      <c r="H47" s="1">
        <f t="shared" si="4"/>
        <v>0</v>
      </c>
      <c r="I47" s="83">
        <f t="shared" si="5"/>
        <v>4.0263218320726768E-2</v>
      </c>
      <c r="J47" s="126">
        <f>'Raw Data'!F47/I47</f>
        <v>0</v>
      </c>
      <c r="K47" s="123">
        <f t="shared" si="6"/>
        <v>3.6366951420214302E-2</v>
      </c>
      <c r="L47" s="1">
        <f>A47*Table!$AC$9/$AC$16</f>
        <v>4.550623220086309</v>
      </c>
      <c r="M47" s="1">
        <f>A47*Table!$AD$9/$AC$16</f>
        <v>1.560213675458163</v>
      </c>
      <c r="N47" s="1">
        <f>ABS(A47*Table!$AE$9/$AC$16)</f>
        <v>1.9704776558230441</v>
      </c>
      <c r="O47" s="1">
        <f>($L47*(Table!$AC$10/Table!$AC$9)/(Table!$AC$12-Table!$AC$14))</f>
        <v>9.761096568181701</v>
      </c>
      <c r="P47" s="1">
        <f>ROUND(($N47*(Table!$AE$10/Table!$AE$9)/(Table!$AC$12-Table!$AC$13)),2)</f>
        <v>16.18</v>
      </c>
      <c r="Q47" s="1">
        <f>'Raw Data'!C47</f>
        <v>0</v>
      </c>
      <c r="R47" s="1">
        <f>'Raw Data'!C47/'Raw Data'!I$30*100</f>
        <v>0</v>
      </c>
      <c r="S47" s="128">
        <f t="shared" si="7"/>
        <v>0</v>
      </c>
      <c r="T47" s="128">
        <f t="shared" si="8"/>
        <v>1</v>
      </c>
      <c r="U47" s="5">
        <f t="shared" si="9"/>
        <v>0</v>
      </c>
      <c r="V47" s="5">
        <f t="shared" si="10"/>
        <v>0</v>
      </c>
      <c r="W47" s="5">
        <f t="shared" si="11"/>
        <v>0</v>
      </c>
      <c r="X47" s="104">
        <f t="shared" si="12"/>
        <v>0</v>
      </c>
      <c r="AS47" s="61"/>
      <c r="AT47" s="61"/>
    </row>
    <row r="48" spans="1:46" ht="12.4" customHeight="1" x14ac:dyDescent="0.2">
      <c r="A48" s="1">
        <v>22.155405044555664</v>
      </c>
      <c r="B48" s="42">
        <v>0</v>
      </c>
      <c r="C48" s="42">
        <f t="shared" si="1"/>
        <v>1</v>
      </c>
      <c r="D48" s="72">
        <f t="shared" si="2"/>
        <v>0</v>
      </c>
      <c r="E48" s="126">
        <f>(2*Table!$AC$16*0.147)/A48</f>
        <v>4.1369176090836763</v>
      </c>
      <c r="F48" s="126">
        <f t="shared" si="3"/>
        <v>8.2738352181673527</v>
      </c>
      <c r="G48" s="1">
        <f>IF((('Raw Data'!C48)/('Raw Data'!C$136)*100)&lt;0,0,('Raw Data'!C48)/('Raw Data'!C$136)*100)</f>
        <v>0</v>
      </c>
      <c r="H48" s="1">
        <f t="shared" si="4"/>
        <v>0</v>
      </c>
      <c r="I48" s="83">
        <f t="shared" si="5"/>
        <v>3.8697620333129179E-2</v>
      </c>
      <c r="J48" s="126">
        <f>'Raw Data'!F48/I48</f>
        <v>0</v>
      </c>
      <c r="K48" s="123">
        <f t="shared" si="6"/>
        <v>3.9756167962217696E-2</v>
      </c>
      <c r="L48" s="1">
        <f>A48*Table!$AC$9/$AC$16</f>
        <v>4.9747183639362964</v>
      </c>
      <c r="M48" s="1">
        <f>A48*Table!$AD$9/$AC$16</f>
        <v>1.7056177247781585</v>
      </c>
      <c r="N48" s="1">
        <f>ABS(A48*Table!$AE$9/$AC$16)</f>
        <v>2.1541162399208966</v>
      </c>
      <c r="O48" s="1">
        <f>($L48*(Table!$AC$10/Table!$AC$9)/(Table!$AC$12-Table!$AC$14))</f>
        <v>10.670781561424919</v>
      </c>
      <c r="P48" s="1">
        <f>ROUND(($N48*(Table!$AE$10/Table!$AE$9)/(Table!$AC$12-Table!$AC$13)),2)</f>
        <v>17.690000000000001</v>
      </c>
      <c r="Q48" s="1">
        <f>'Raw Data'!C48</f>
        <v>0</v>
      </c>
      <c r="R48" s="1">
        <f>'Raw Data'!C48/'Raw Data'!I$30*100</f>
        <v>0</v>
      </c>
      <c r="S48" s="128">
        <f t="shared" si="7"/>
        <v>0</v>
      </c>
      <c r="T48" s="128">
        <f t="shared" si="8"/>
        <v>1</v>
      </c>
      <c r="U48" s="5">
        <f t="shared" si="9"/>
        <v>0</v>
      </c>
      <c r="V48" s="5">
        <f t="shared" si="10"/>
        <v>0</v>
      </c>
      <c r="W48" s="5">
        <f t="shared" si="11"/>
        <v>0</v>
      </c>
      <c r="X48" s="104">
        <f t="shared" si="12"/>
        <v>0</v>
      </c>
      <c r="AS48" s="61"/>
      <c r="AT48" s="61"/>
    </row>
    <row r="49" spans="1:46" ht="12.4" customHeight="1" x14ac:dyDescent="0.2">
      <c r="A49" s="1">
        <v>24.306196212768555</v>
      </c>
      <c r="B49" s="42">
        <v>0</v>
      </c>
      <c r="C49" s="42">
        <f t="shared" si="1"/>
        <v>1</v>
      </c>
      <c r="D49" s="72">
        <f t="shared" si="2"/>
        <v>0</v>
      </c>
      <c r="E49" s="126">
        <f>(2*Table!$AC$16*0.147)/A49</f>
        <v>3.7708526855820943</v>
      </c>
      <c r="F49" s="126">
        <f t="shared" si="3"/>
        <v>7.5417053711641886</v>
      </c>
      <c r="G49" s="1">
        <f>IF((('Raw Data'!C49)/('Raw Data'!C$136)*100)&lt;0,0,('Raw Data'!C49)/('Raw Data'!C$136)*100)</f>
        <v>0</v>
      </c>
      <c r="H49" s="1">
        <f t="shared" si="4"/>
        <v>0</v>
      </c>
      <c r="I49" s="83">
        <f t="shared" si="5"/>
        <v>4.0237305240486299E-2</v>
      </c>
      <c r="J49" s="126">
        <f>'Raw Data'!F49/I49</f>
        <v>0</v>
      </c>
      <c r="K49" s="123">
        <f t="shared" si="6"/>
        <v>4.3615597061490159E-2</v>
      </c>
      <c r="L49" s="1">
        <f>A49*Table!$AC$9/$AC$16</f>
        <v>5.4576515488626498</v>
      </c>
      <c r="M49" s="1">
        <f>A49*Table!$AD$9/$AC$16</f>
        <v>1.8711948167529084</v>
      </c>
      <c r="N49" s="1">
        <f>ABS(A49*Table!$AE$9/$AC$16)</f>
        <v>2.3632324431592715</v>
      </c>
      <c r="O49" s="1">
        <f>($L49*(Table!$AC$10/Table!$AC$9)/(Table!$AC$12-Table!$AC$14))</f>
        <v>11.706674278984664</v>
      </c>
      <c r="P49" s="1">
        <f>ROUND(($N49*(Table!$AE$10/Table!$AE$9)/(Table!$AC$12-Table!$AC$13)),2)</f>
        <v>19.399999999999999</v>
      </c>
      <c r="Q49" s="1">
        <f>'Raw Data'!C49</f>
        <v>0</v>
      </c>
      <c r="R49" s="1">
        <f>'Raw Data'!C49/'Raw Data'!I$30*100</f>
        <v>0</v>
      </c>
      <c r="S49" s="128">
        <f t="shared" si="7"/>
        <v>0</v>
      </c>
      <c r="T49" s="128">
        <f t="shared" si="8"/>
        <v>1</v>
      </c>
      <c r="U49" s="5">
        <f t="shared" si="9"/>
        <v>0</v>
      </c>
      <c r="V49" s="5">
        <f t="shared" si="10"/>
        <v>0</v>
      </c>
      <c r="W49" s="5">
        <f t="shared" si="11"/>
        <v>0</v>
      </c>
      <c r="X49" s="104">
        <f t="shared" si="12"/>
        <v>0</v>
      </c>
      <c r="AS49" s="61"/>
      <c r="AT49" s="61"/>
    </row>
    <row r="50" spans="1:46" ht="12.4" customHeight="1" x14ac:dyDescent="0.2">
      <c r="A50" s="1">
        <v>26.600929260253906</v>
      </c>
      <c r="B50" s="42">
        <v>2.5380710659898478E-4</v>
      </c>
      <c r="C50" s="42">
        <f t="shared" si="1"/>
        <v>0.99974619289340105</v>
      </c>
      <c r="D50" s="72">
        <f t="shared" si="2"/>
        <v>2.5380710659898478E-4</v>
      </c>
      <c r="E50" s="126">
        <f>(2*Table!$AC$16*0.147)/A50</f>
        <v>3.4455595279579638</v>
      </c>
      <c r="F50" s="126">
        <f t="shared" si="3"/>
        <v>6.8911190559159277</v>
      </c>
      <c r="G50" s="1">
        <f>IF((('Raw Data'!C50)/('Raw Data'!C$136)*100)&lt;0,0,('Raw Data'!C50)/('Raw Data'!C$136)*100)</f>
        <v>2.5380710659898321E-2</v>
      </c>
      <c r="H50" s="1">
        <f t="shared" si="4"/>
        <v>2.5380710659898321E-2</v>
      </c>
      <c r="I50" s="83">
        <f t="shared" si="5"/>
        <v>3.9179808826887652E-2</v>
      </c>
      <c r="J50" s="126">
        <f>'Raw Data'!F50/I50</f>
        <v>6.478007785091713E-3</v>
      </c>
      <c r="K50" s="123">
        <f t="shared" si="6"/>
        <v>4.7733318776837341E-2</v>
      </c>
      <c r="L50" s="1">
        <f>A50*Table!$AC$9/$AC$16</f>
        <v>5.9729050776832429</v>
      </c>
      <c r="M50" s="1">
        <f>A50*Table!$AD$9/$AC$16</f>
        <v>2.0478531694913977</v>
      </c>
      <c r="N50" s="1">
        <f>ABS(A50*Table!$AE$9/$AC$16)</f>
        <v>2.586343765833377</v>
      </c>
      <c r="O50" s="1">
        <f>($L50*(Table!$AC$10/Table!$AC$9)/(Table!$AC$12-Table!$AC$14))</f>
        <v>12.81189420352476</v>
      </c>
      <c r="P50" s="1">
        <f>ROUND(($N50*(Table!$AE$10/Table!$AE$9)/(Table!$AC$12-Table!$AC$13)),2)</f>
        <v>21.23</v>
      </c>
      <c r="Q50" s="1">
        <f>'Raw Data'!C50</f>
        <v>3.9999999999999758E-4</v>
      </c>
      <c r="R50" s="1">
        <f>'Raw Data'!C50/'Raw Data'!I$30*100</f>
        <v>3.6650545781190306E-3</v>
      </c>
      <c r="S50" s="128">
        <f t="shared" si="7"/>
        <v>3.3333333333333318E-3</v>
      </c>
      <c r="T50" s="128">
        <f t="shared" si="8"/>
        <v>0.9831982770830765</v>
      </c>
      <c r="U50" s="5">
        <f t="shared" si="9"/>
        <v>1.3777919343574269E-4</v>
      </c>
      <c r="V50" s="5">
        <f t="shared" si="10"/>
        <v>1.1812244495636971E-4</v>
      </c>
      <c r="W50" s="5">
        <f t="shared" si="11"/>
        <v>4.946616858625792E-3</v>
      </c>
      <c r="X50" s="104">
        <f t="shared" si="12"/>
        <v>4.946616858625792E-3</v>
      </c>
      <c r="AS50" s="61"/>
      <c r="AT50" s="61"/>
    </row>
    <row r="51" spans="1:46" ht="12.4" customHeight="1" x14ac:dyDescent="0.2">
      <c r="A51" s="1">
        <v>28.999906539916992</v>
      </c>
      <c r="B51" s="42">
        <v>5.7106598984771567E-4</v>
      </c>
      <c r="C51" s="42">
        <f t="shared" si="1"/>
        <v>0.99942893401015231</v>
      </c>
      <c r="D51" s="72">
        <f t="shared" si="2"/>
        <v>3.1725888324873089E-4</v>
      </c>
      <c r="E51" s="126">
        <f>(2*Table!$AC$16*0.147)/A51</f>
        <v>3.1605303671942795</v>
      </c>
      <c r="F51" s="126">
        <f t="shared" si="3"/>
        <v>6.321060734388559</v>
      </c>
      <c r="G51" s="1">
        <f>IF((('Raw Data'!C51)/('Raw Data'!C$136)*100)&lt;0,0,('Raw Data'!C51)/('Raw Data'!C$136)*100)</f>
        <v>5.7106598984771446E-2</v>
      </c>
      <c r="H51" s="1">
        <f t="shared" si="4"/>
        <v>3.1725888324873122E-2</v>
      </c>
      <c r="I51" s="83">
        <f t="shared" si="5"/>
        <v>3.7499790000835864E-2</v>
      </c>
      <c r="J51" s="126">
        <f>'Raw Data'!F51/I51</f>
        <v>8.4602842640361352E-3</v>
      </c>
      <c r="K51" s="123">
        <f t="shared" si="6"/>
        <v>5.2038098738026381E-2</v>
      </c>
      <c r="L51" s="1">
        <f>A51*Table!$AC$9/$AC$16</f>
        <v>6.5115653415694377</v>
      </c>
      <c r="M51" s="1">
        <f>A51*Table!$AD$9/$AC$16</f>
        <v>2.2325366885380928</v>
      </c>
      <c r="N51" s="1">
        <f>ABS(A51*Table!$AE$9/$AC$16)</f>
        <v>2.8195905021007146</v>
      </c>
      <c r="O51" s="1">
        <f>($L51*(Table!$AC$10/Table!$AC$9)/(Table!$AC$12-Table!$AC$14))</f>
        <v>13.967321624988072</v>
      </c>
      <c r="P51" s="1">
        <f>ROUND(($N51*(Table!$AE$10/Table!$AE$9)/(Table!$AC$12-Table!$AC$13)),2)</f>
        <v>23.15</v>
      </c>
      <c r="Q51" s="1">
        <f>'Raw Data'!C51</f>
        <v>8.9999999999999802E-4</v>
      </c>
      <c r="R51" s="1">
        <f>'Raw Data'!C51/'Raw Data'!I$30*100</f>
        <v>8.2463728007678497E-3</v>
      </c>
      <c r="S51" s="128">
        <f t="shared" si="7"/>
        <v>4.166666666666664E-3</v>
      </c>
      <c r="T51" s="128">
        <f t="shared" si="8"/>
        <v>0.96552714995169753</v>
      </c>
      <c r="U51" s="5">
        <f t="shared" si="9"/>
        <v>2.8435859920503917E-4</v>
      </c>
      <c r="V51" s="5">
        <f t="shared" si="10"/>
        <v>4.0221746161955206E-4</v>
      </c>
      <c r="W51" s="5">
        <f t="shared" si="11"/>
        <v>5.2025792718527093E-3</v>
      </c>
      <c r="X51" s="104">
        <f t="shared" si="12"/>
        <v>1.0149196130478502E-2</v>
      </c>
      <c r="AS51" s="61"/>
      <c r="AT51" s="61"/>
    </row>
    <row r="52" spans="1:46" ht="12.4" customHeight="1" x14ac:dyDescent="0.2">
      <c r="A52" s="1">
        <v>32.726486206054687</v>
      </c>
      <c r="B52" s="42">
        <v>5.7106598984771567E-4</v>
      </c>
      <c r="C52" s="42">
        <f t="shared" si="1"/>
        <v>0.99942893401015231</v>
      </c>
      <c r="D52" s="72">
        <f t="shared" si="2"/>
        <v>0</v>
      </c>
      <c r="E52" s="126">
        <f>(2*Table!$AC$16*0.147)/A52</f>
        <v>2.8006393563952687</v>
      </c>
      <c r="F52" s="126">
        <f t="shared" si="3"/>
        <v>5.6012787127905375</v>
      </c>
      <c r="G52" s="1">
        <f>IF((('Raw Data'!C52)/('Raw Data'!C$136)*100)&lt;0,0,('Raw Data'!C52)/('Raw Data'!C$136)*100)</f>
        <v>5.7106598984771446E-2</v>
      </c>
      <c r="H52" s="1">
        <f t="shared" si="4"/>
        <v>0</v>
      </c>
      <c r="I52" s="83">
        <f t="shared" si="5"/>
        <v>5.2502779992043946E-2</v>
      </c>
      <c r="J52" s="126">
        <f>'Raw Data'!F52/I52</f>
        <v>0</v>
      </c>
      <c r="K52" s="123">
        <f t="shared" si="6"/>
        <v>5.8725158930950365E-2</v>
      </c>
      <c r="L52" s="1">
        <f>A52*Table!$AC$9/$AC$16</f>
        <v>7.3483220726029952</v>
      </c>
      <c r="M52" s="1">
        <f>A52*Table!$AD$9/$AC$16</f>
        <v>2.5194247106067413</v>
      </c>
      <c r="N52" s="1">
        <f>ABS(A52*Table!$AE$9/$AC$16)</f>
        <v>3.1819167950320559</v>
      </c>
      <c r="O52" s="1">
        <f>($L52*(Table!$AC$10/Table!$AC$9)/(Table!$AC$12-Table!$AC$14))</f>
        <v>15.762166607900033</v>
      </c>
      <c r="P52" s="1">
        <f>ROUND(($N52*(Table!$AE$10/Table!$AE$9)/(Table!$AC$12-Table!$AC$13)),2)</f>
        <v>26.12</v>
      </c>
      <c r="Q52" s="1">
        <f>'Raw Data'!C52</f>
        <v>8.9999999999999802E-4</v>
      </c>
      <c r="R52" s="1">
        <f>'Raw Data'!C52/'Raw Data'!I$30*100</f>
        <v>8.2463728007678497E-3</v>
      </c>
      <c r="S52" s="128">
        <f t="shared" si="7"/>
        <v>0</v>
      </c>
      <c r="T52" s="128">
        <f t="shared" si="8"/>
        <v>0.96552714995169753</v>
      </c>
      <c r="U52" s="5">
        <f t="shared" si="9"/>
        <v>2.5197855794375498E-4</v>
      </c>
      <c r="V52" s="5">
        <f t="shared" si="10"/>
        <v>3.2785266624528166E-4</v>
      </c>
      <c r="W52" s="5">
        <f t="shared" si="11"/>
        <v>0</v>
      </c>
      <c r="X52" s="104">
        <f t="shared" si="12"/>
        <v>1.0149196130478502E-2</v>
      </c>
      <c r="AS52" s="61"/>
      <c r="AT52" s="61"/>
    </row>
    <row r="53" spans="1:46" ht="12.4" customHeight="1" x14ac:dyDescent="0.2">
      <c r="A53" s="1">
        <v>34.611701965332031</v>
      </c>
      <c r="B53" s="42">
        <v>5.7106598984771567E-4</v>
      </c>
      <c r="C53" s="42">
        <f t="shared" si="1"/>
        <v>0.99942893401015231</v>
      </c>
      <c r="D53" s="72">
        <f t="shared" si="2"/>
        <v>0</v>
      </c>
      <c r="E53" s="126">
        <f>(2*Table!$AC$16*0.147)/A53</f>
        <v>2.6480952990121005</v>
      </c>
      <c r="F53" s="126">
        <f t="shared" si="3"/>
        <v>5.296190598024201</v>
      </c>
      <c r="G53" s="1">
        <f>IF((('Raw Data'!C53)/('Raw Data'!C$136)*100)&lt;0,0,('Raw Data'!C53)/('Raw Data'!C$136)*100)</f>
        <v>5.7106598984771446E-2</v>
      </c>
      <c r="H53" s="1">
        <f t="shared" si="4"/>
        <v>0</v>
      </c>
      <c r="I53" s="83">
        <f t="shared" si="5"/>
        <v>2.4323577172135458E-2</v>
      </c>
      <c r="J53" s="126">
        <f>'Raw Data'!F53/I53</f>
        <v>0</v>
      </c>
      <c r="K53" s="123">
        <f t="shared" si="6"/>
        <v>6.2108033413277523E-2</v>
      </c>
      <c r="L53" s="1">
        <f>A53*Table!$AC$9/$AC$16</f>
        <v>7.7716236298888415</v>
      </c>
      <c r="M53" s="1">
        <f>A53*Table!$AD$9/$AC$16</f>
        <v>2.6645566731047459</v>
      </c>
      <c r="N53" s="1">
        <f>ABS(A53*Table!$AE$9/$AC$16)</f>
        <v>3.3652117460675846</v>
      </c>
      <c r="O53" s="1">
        <f>($L53*(Table!$AC$10/Table!$AC$9)/(Table!$AC$12-Table!$AC$14))</f>
        <v>16.670149356260922</v>
      </c>
      <c r="P53" s="1">
        <f>ROUND(($N53*(Table!$AE$10/Table!$AE$9)/(Table!$AC$12-Table!$AC$13)),2)</f>
        <v>27.63</v>
      </c>
      <c r="Q53" s="1">
        <f>'Raw Data'!C53</f>
        <v>8.9999999999999802E-4</v>
      </c>
      <c r="R53" s="1">
        <f>'Raw Data'!C53/'Raw Data'!I$30*100</f>
        <v>8.2463728007678497E-3</v>
      </c>
      <c r="S53" s="128">
        <f t="shared" si="7"/>
        <v>0</v>
      </c>
      <c r="T53" s="128">
        <f t="shared" si="8"/>
        <v>0.96552714995169753</v>
      </c>
      <c r="U53" s="5">
        <f t="shared" si="9"/>
        <v>2.3825389485404759E-4</v>
      </c>
      <c r="V53" s="5">
        <f t="shared" si="10"/>
        <v>2.9822740591957712E-4</v>
      </c>
      <c r="W53" s="5">
        <f t="shared" si="11"/>
        <v>0</v>
      </c>
      <c r="X53" s="104">
        <f t="shared" si="12"/>
        <v>1.0149196130478502E-2</v>
      </c>
      <c r="Z53" s="42"/>
      <c r="AS53" s="61"/>
      <c r="AT53" s="61"/>
    </row>
    <row r="54" spans="1:46" ht="12.4" customHeight="1" x14ac:dyDescent="0.2">
      <c r="A54" s="1">
        <v>36.369148254394531</v>
      </c>
      <c r="B54" s="42">
        <v>5.7106598984771567E-4</v>
      </c>
      <c r="C54" s="42">
        <f t="shared" si="1"/>
        <v>0.99942893401015231</v>
      </c>
      <c r="D54" s="72">
        <f t="shared" si="2"/>
        <v>0</v>
      </c>
      <c r="E54" s="126">
        <f>(2*Table!$AC$16*0.147)/A54</f>
        <v>2.5201328506264602</v>
      </c>
      <c r="F54" s="126">
        <f t="shared" si="3"/>
        <v>5.0402657012529204</v>
      </c>
      <c r="G54" s="1">
        <f>IF((('Raw Data'!C54)/('Raw Data'!C$136)*100)&lt;0,0,('Raw Data'!C54)/('Raw Data'!C$136)*100)</f>
        <v>5.7106598984771446E-2</v>
      </c>
      <c r="H54" s="1">
        <f t="shared" si="4"/>
        <v>0</v>
      </c>
      <c r="I54" s="83">
        <f t="shared" si="5"/>
        <v>2.1510174800685788E-2</v>
      </c>
      <c r="J54" s="126">
        <f>'Raw Data'!F54/I54</f>
        <v>0</v>
      </c>
      <c r="K54" s="123">
        <f t="shared" si="6"/>
        <v>6.5261635421998823E-2</v>
      </c>
      <c r="L54" s="1">
        <f>A54*Table!$AC$9/$AC$16</f>
        <v>8.1662361549249987</v>
      </c>
      <c r="M54" s="1">
        <f>A54*Table!$AD$9/$AC$16</f>
        <v>2.7998523959742854</v>
      </c>
      <c r="N54" s="1">
        <f>ABS(A54*Table!$AE$9/$AC$16)</f>
        <v>3.5360839817340022</v>
      </c>
      <c r="O54" s="1">
        <f>($L54*(Table!$AC$10/Table!$AC$9)/(Table!$AC$12-Table!$AC$14))</f>
        <v>17.516594068908194</v>
      </c>
      <c r="P54" s="1">
        <f>ROUND(($N54*(Table!$AE$10/Table!$AE$9)/(Table!$AC$12-Table!$AC$13)),2)</f>
        <v>29.03</v>
      </c>
      <c r="Q54" s="1">
        <f>'Raw Data'!C54</f>
        <v>8.9999999999999802E-4</v>
      </c>
      <c r="R54" s="1">
        <f>'Raw Data'!C54/'Raw Data'!I$30*100</f>
        <v>8.2463728007678497E-3</v>
      </c>
      <c r="S54" s="128">
        <f t="shared" si="7"/>
        <v>0</v>
      </c>
      <c r="T54" s="128">
        <f t="shared" si="8"/>
        <v>0.96552714995169753</v>
      </c>
      <c r="U54" s="5">
        <f t="shared" si="9"/>
        <v>2.2674088331918607E-4</v>
      </c>
      <c r="V54" s="5">
        <f t="shared" si="10"/>
        <v>2.7426718262457353E-4</v>
      </c>
      <c r="W54" s="5">
        <f t="shared" si="11"/>
        <v>0</v>
      </c>
      <c r="X54" s="104">
        <f t="shared" si="12"/>
        <v>1.0149196130478502E-2</v>
      </c>
      <c r="Z54" s="42"/>
      <c r="AS54" s="61"/>
      <c r="AT54" s="61"/>
    </row>
    <row r="55" spans="1:46" ht="12.4" customHeight="1" x14ac:dyDescent="0.2">
      <c r="A55" s="1">
        <v>40.818695068359375</v>
      </c>
      <c r="B55" s="42">
        <v>5.7106598984771567E-4</v>
      </c>
      <c r="C55" s="42">
        <f t="shared" si="1"/>
        <v>0.99942893401015231</v>
      </c>
      <c r="D55" s="72">
        <f t="shared" si="2"/>
        <v>0</v>
      </c>
      <c r="E55" s="126">
        <f>(2*Table!$AC$16*0.147)/A55</f>
        <v>2.2454192891690483</v>
      </c>
      <c r="F55" s="126">
        <f t="shared" si="3"/>
        <v>4.4908385783380966</v>
      </c>
      <c r="G55" s="1">
        <f>IF((('Raw Data'!C55)/('Raw Data'!C$136)*100)&lt;0,0,('Raw Data'!C55)/('Raw Data'!C$136)*100)</f>
        <v>5.7106598984771446E-2</v>
      </c>
      <c r="H55" s="1">
        <f t="shared" si="4"/>
        <v>0</v>
      </c>
      <c r="I55" s="83">
        <f t="shared" si="5"/>
        <v>5.0125986420647084E-2</v>
      </c>
      <c r="J55" s="126">
        <f>'Raw Data'!F55/I55</f>
        <v>0</v>
      </c>
      <c r="K55" s="123">
        <f t="shared" si="6"/>
        <v>7.3246004479390836E-2</v>
      </c>
      <c r="L55" s="1">
        <f>A55*Table!$AC$9/$AC$16</f>
        <v>9.165326092667506</v>
      </c>
      <c r="M55" s="1">
        <f>A55*Table!$AD$9/$AC$16</f>
        <v>3.1423975174860019</v>
      </c>
      <c r="N55" s="1">
        <f>ABS(A55*Table!$AE$9/$AC$16)</f>
        <v>3.9687026151092142</v>
      </c>
      <c r="O55" s="1">
        <f>($L55*(Table!$AC$10/Table!$AC$9)/(Table!$AC$12-Table!$AC$14))</f>
        <v>19.65964412841593</v>
      </c>
      <c r="P55" s="1">
        <f>ROUND(($N55*(Table!$AE$10/Table!$AE$9)/(Table!$AC$12-Table!$AC$13)),2)</f>
        <v>32.58</v>
      </c>
      <c r="Q55" s="1">
        <f>'Raw Data'!C55</f>
        <v>8.9999999999999802E-4</v>
      </c>
      <c r="R55" s="1">
        <f>'Raw Data'!C55/'Raw Data'!I$30*100</f>
        <v>8.2463728007678497E-3</v>
      </c>
      <c r="S55" s="128">
        <f t="shared" si="7"/>
        <v>0</v>
      </c>
      <c r="T55" s="128">
        <f t="shared" si="8"/>
        <v>0.96552714995169753</v>
      </c>
      <c r="U55" s="5">
        <f t="shared" si="9"/>
        <v>2.0202441030899167E-4</v>
      </c>
      <c r="V55" s="5">
        <f t="shared" si="10"/>
        <v>2.256372522020972E-4</v>
      </c>
      <c r="W55" s="5">
        <f t="shared" si="11"/>
        <v>0</v>
      </c>
      <c r="X55" s="104">
        <f t="shared" si="12"/>
        <v>1.0149196130478502E-2</v>
      </c>
      <c r="Z55" s="42"/>
      <c r="AS55" s="61"/>
      <c r="AT55" s="61"/>
    </row>
    <row r="56" spans="1:46" ht="12.4" customHeight="1" x14ac:dyDescent="0.2">
      <c r="A56" s="1">
        <v>47.708099365234375</v>
      </c>
      <c r="B56" s="42">
        <v>5.7106598984771567E-4</v>
      </c>
      <c r="C56" s="42">
        <f t="shared" si="1"/>
        <v>0.99942893401015231</v>
      </c>
      <c r="D56" s="72">
        <f t="shared" si="2"/>
        <v>0</v>
      </c>
      <c r="E56" s="126">
        <f>(2*Table!$AC$16*0.147)/A56</f>
        <v>1.9211640472936993</v>
      </c>
      <c r="F56" s="126">
        <f t="shared" si="3"/>
        <v>3.8423280945873985</v>
      </c>
      <c r="G56" s="1">
        <f>IF((('Raw Data'!C56)/('Raw Data'!C$136)*100)&lt;0,0,('Raw Data'!C56)/('Raw Data'!C$136)*100)</f>
        <v>5.7106598984771446E-2</v>
      </c>
      <c r="H56" s="1">
        <f t="shared" si="4"/>
        <v>0</v>
      </c>
      <c r="I56" s="83">
        <f t="shared" si="5"/>
        <v>6.7732998465700633E-2</v>
      </c>
      <c r="J56" s="126">
        <f>'Raw Data'!F56/I56</f>
        <v>0</v>
      </c>
      <c r="K56" s="123">
        <f t="shared" si="6"/>
        <v>8.5608509874140662E-2</v>
      </c>
      <c r="L56" s="1">
        <f>A56*Table!$AC$9/$AC$16</f>
        <v>10.712255431279065</v>
      </c>
      <c r="M56" s="1">
        <f>A56*Table!$AD$9/$AC$16</f>
        <v>3.6727732907242507</v>
      </c>
      <c r="N56" s="1">
        <f>ABS(A56*Table!$AE$9/$AC$16)</f>
        <v>4.6385426676577497</v>
      </c>
      <c r="O56" s="1">
        <f>($L56*(Table!$AC$10/Table!$AC$9)/(Table!$AC$12-Table!$AC$14))</f>
        <v>22.977810877904474</v>
      </c>
      <c r="P56" s="1">
        <f>ROUND(($N56*(Table!$AE$10/Table!$AE$9)/(Table!$AC$12-Table!$AC$13)),2)</f>
        <v>38.08</v>
      </c>
      <c r="Q56" s="1">
        <f>'Raw Data'!C56</f>
        <v>8.9999999999999802E-4</v>
      </c>
      <c r="R56" s="1">
        <f>'Raw Data'!C56/'Raw Data'!I$30*100</f>
        <v>8.2463728007678497E-3</v>
      </c>
      <c r="S56" s="128">
        <f t="shared" si="7"/>
        <v>0</v>
      </c>
      <c r="T56" s="128">
        <f t="shared" si="8"/>
        <v>0.96552714995169753</v>
      </c>
      <c r="U56" s="5">
        <f t="shared" si="9"/>
        <v>1.7285058324451106E-4</v>
      </c>
      <c r="V56" s="5">
        <f t="shared" si="10"/>
        <v>1.7333022543503996E-4</v>
      </c>
      <c r="W56" s="5">
        <f t="shared" si="11"/>
        <v>0</v>
      </c>
      <c r="X56" s="104">
        <f t="shared" si="12"/>
        <v>1.0149196130478502E-2</v>
      </c>
      <c r="Z56" s="42"/>
      <c r="AS56" s="61"/>
      <c r="AT56" s="61"/>
    </row>
    <row r="57" spans="1:46" ht="12.4" customHeight="1" x14ac:dyDescent="0.2">
      <c r="A57" s="1">
        <v>52.035938262939453</v>
      </c>
      <c r="B57" s="42">
        <v>5.7106598984771567E-4</v>
      </c>
      <c r="C57" s="42">
        <f t="shared" si="1"/>
        <v>0.99942893401015231</v>
      </c>
      <c r="D57" s="72">
        <f t="shared" si="2"/>
        <v>0</v>
      </c>
      <c r="E57" s="126">
        <f>(2*Table!$AC$16*0.147)/A57</f>
        <v>1.7613804675158775</v>
      </c>
      <c r="F57" s="126">
        <f t="shared" si="3"/>
        <v>3.522760935031755</v>
      </c>
      <c r="G57" s="1">
        <f>IF((('Raw Data'!C57)/('Raw Data'!C$136)*100)&lt;0,0,('Raw Data'!C57)/('Raw Data'!C$136)*100)</f>
        <v>5.7106598984771446E-2</v>
      </c>
      <c r="H57" s="1">
        <f t="shared" si="4"/>
        <v>0</v>
      </c>
      <c r="I57" s="83">
        <f t="shared" si="5"/>
        <v>3.7711274636268027E-2</v>
      </c>
      <c r="J57" s="126">
        <f>'Raw Data'!F57/I57</f>
        <v>0</v>
      </c>
      <c r="K57" s="123">
        <f t="shared" si="6"/>
        <v>9.3374483449643525E-2</v>
      </c>
      <c r="L57" s="1">
        <f>A57*Table!$AC$9/$AC$16</f>
        <v>11.684017382697862</v>
      </c>
      <c r="M57" s="1">
        <f>A57*Table!$AD$9/$AC$16</f>
        <v>4.0059488169249811</v>
      </c>
      <c r="N57" s="1">
        <f>ABS(A57*Table!$AE$9/$AC$16)</f>
        <v>5.0593279358376577</v>
      </c>
      <c r="O57" s="1">
        <f>($L57*(Table!$AC$10/Table!$AC$9)/(Table!$AC$12-Table!$AC$14))</f>
        <v>25.062242348129264</v>
      </c>
      <c r="P57" s="1">
        <f>ROUND(($N57*(Table!$AE$10/Table!$AE$9)/(Table!$AC$12-Table!$AC$13)),2)</f>
        <v>41.54</v>
      </c>
      <c r="Q57" s="1">
        <f>'Raw Data'!C57</f>
        <v>8.9999999999999802E-4</v>
      </c>
      <c r="R57" s="1">
        <f>'Raw Data'!C57/'Raw Data'!I$30*100</f>
        <v>8.2463728007678497E-3</v>
      </c>
      <c r="S57" s="128">
        <f t="shared" si="7"/>
        <v>0</v>
      </c>
      <c r="T57" s="128">
        <f t="shared" si="8"/>
        <v>0.96552714995169753</v>
      </c>
      <c r="U57" s="5">
        <f t="shared" si="9"/>
        <v>1.5847456730958963E-4</v>
      </c>
      <c r="V57" s="5">
        <f t="shared" si="10"/>
        <v>1.4965958494779605E-4</v>
      </c>
      <c r="W57" s="5">
        <f t="shared" si="11"/>
        <v>0</v>
      </c>
      <c r="X57" s="104">
        <f t="shared" si="12"/>
        <v>1.0149196130478502E-2</v>
      </c>
      <c r="Z57" s="42"/>
      <c r="AS57" s="61"/>
      <c r="AT57" s="61"/>
    </row>
    <row r="58" spans="1:46" ht="12.4" customHeight="1" x14ac:dyDescent="0.2">
      <c r="A58" s="1">
        <v>55.142673492431641</v>
      </c>
      <c r="B58" s="42">
        <v>5.7106598984771567E-4</v>
      </c>
      <c r="C58" s="42">
        <f t="shared" si="1"/>
        <v>0.99942893401015231</v>
      </c>
      <c r="D58" s="72">
        <f t="shared" si="2"/>
        <v>0</v>
      </c>
      <c r="E58" s="126">
        <f>(2*Table!$AC$16*0.147)/A58</f>
        <v>1.6621443876453206</v>
      </c>
      <c r="F58" s="126">
        <f t="shared" si="3"/>
        <v>3.3242887752906412</v>
      </c>
      <c r="G58" s="1">
        <f>IF((('Raw Data'!C58)/('Raw Data'!C$136)*100)&lt;0,0,('Raw Data'!C58)/('Raw Data'!C$136)*100)</f>
        <v>5.7106598984771446E-2</v>
      </c>
      <c r="H58" s="1">
        <f t="shared" si="4"/>
        <v>0</v>
      </c>
      <c r="I58" s="83">
        <f t="shared" si="5"/>
        <v>2.5184428503190914E-2</v>
      </c>
      <c r="J58" s="126">
        <f>'Raw Data'!F58/I58</f>
        <v>0</v>
      </c>
      <c r="K58" s="123">
        <f t="shared" si="6"/>
        <v>9.8949280540892443E-2</v>
      </c>
      <c r="L58" s="1">
        <f>A58*Table!$AC$9/$AC$16</f>
        <v>12.38159581861278</v>
      </c>
      <c r="M58" s="1">
        <f>A58*Table!$AD$9/$AC$16</f>
        <v>4.2451185663815245</v>
      </c>
      <c r="N58" s="1">
        <f>ABS(A58*Table!$AE$9/$AC$16)</f>
        <v>5.3613882591549249</v>
      </c>
      <c r="O58" s="1">
        <f>($L58*(Table!$AC$10/Table!$AC$9)/(Table!$AC$12-Table!$AC$14))</f>
        <v>26.558549589474005</v>
      </c>
      <c r="P58" s="1">
        <f>ROUND(($N58*(Table!$AE$10/Table!$AE$9)/(Table!$AC$12-Table!$AC$13)),2)</f>
        <v>44.02</v>
      </c>
      <c r="Q58" s="1">
        <f>'Raw Data'!C58</f>
        <v>8.9999999999999802E-4</v>
      </c>
      <c r="R58" s="1">
        <f>'Raw Data'!C58/'Raw Data'!I$30*100</f>
        <v>8.2463728007678497E-3</v>
      </c>
      <c r="S58" s="128">
        <f t="shared" si="7"/>
        <v>0</v>
      </c>
      <c r="T58" s="128">
        <f t="shared" si="8"/>
        <v>0.96552714995169753</v>
      </c>
      <c r="U58" s="5">
        <f t="shared" si="9"/>
        <v>1.4954611879490517E-4</v>
      </c>
      <c r="V58" s="5">
        <f t="shared" si="10"/>
        <v>1.3568057264011637E-4</v>
      </c>
      <c r="W58" s="5">
        <f t="shared" si="11"/>
        <v>0</v>
      </c>
      <c r="X58" s="104">
        <f t="shared" si="12"/>
        <v>1.0149196130478502E-2</v>
      </c>
      <c r="Z58" s="42"/>
      <c r="AS58" s="61"/>
      <c r="AT58" s="61"/>
    </row>
    <row r="59" spans="1:46" ht="12.4" customHeight="1" x14ac:dyDescent="0.2">
      <c r="A59" s="1">
        <v>58.945449829101563</v>
      </c>
      <c r="B59" s="42">
        <v>5.7106598984771567E-4</v>
      </c>
      <c r="C59" s="42">
        <f t="shared" si="1"/>
        <v>0.99942893401015231</v>
      </c>
      <c r="D59" s="72">
        <f t="shared" si="2"/>
        <v>0</v>
      </c>
      <c r="E59" s="126">
        <f>(2*Table!$AC$16*0.147)/A59</f>
        <v>1.5549136622239028</v>
      </c>
      <c r="F59" s="126">
        <f t="shared" si="3"/>
        <v>3.1098273244478056</v>
      </c>
      <c r="G59" s="1">
        <f>IF((('Raw Data'!C59)/('Raw Data'!C$136)*100)&lt;0,0,('Raw Data'!C59)/('Raw Data'!C$136)*100)</f>
        <v>5.7106598984771446E-2</v>
      </c>
      <c r="H59" s="1">
        <f t="shared" si="4"/>
        <v>0</v>
      </c>
      <c r="I59" s="83">
        <f t="shared" si="5"/>
        <v>2.8962468009568476E-2</v>
      </c>
      <c r="J59" s="126">
        <f>'Raw Data'!F59/I59</f>
        <v>0</v>
      </c>
      <c r="K59" s="123">
        <f t="shared" si="6"/>
        <v>0.10577306979048448</v>
      </c>
      <c r="L59" s="1">
        <f>A59*Table!$AC$9/$AC$16</f>
        <v>13.235461556473572</v>
      </c>
      <c r="M59" s="1">
        <f>A59*Table!$AD$9/$AC$16</f>
        <v>4.5378725336480823</v>
      </c>
      <c r="N59" s="1">
        <f>ABS(A59*Table!$AE$9/$AC$16)</f>
        <v>5.7311229693592205</v>
      </c>
      <c r="O59" s="1">
        <f>($L59*(Table!$AC$10/Table!$AC$9)/(Table!$AC$12-Table!$AC$14))</f>
        <v>28.390093428729244</v>
      </c>
      <c r="P59" s="1">
        <f>ROUND(($N59*(Table!$AE$10/Table!$AE$9)/(Table!$AC$12-Table!$AC$13)),2)</f>
        <v>47.05</v>
      </c>
      <c r="Q59" s="1">
        <f>'Raw Data'!C59</f>
        <v>8.9999999999999802E-4</v>
      </c>
      <c r="R59" s="1">
        <f>'Raw Data'!C59/'Raw Data'!I$30*100</f>
        <v>8.2463728007678497E-3</v>
      </c>
      <c r="S59" s="128">
        <f t="shared" si="7"/>
        <v>0</v>
      </c>
      <c r="T59" s="128">
        <f t="shared" si="8"/>
        <v>0.96552714995169753</v>
      </c>
      <c r="U59" s="5">
        <f t="shared" si="9"/>
        <v>1.398983776470663E-4</v>
      </c>
      <c r="V59" s="5">
        <f t="shared" si="10"/>
        <v>1.212110279783807E-4</v>
      </c>
      <c r="W59" s="5">
        <f t="shared" si="11"/>
        <v>0</v>
      </c>
      <c r="X59" s="104">
        <f t="shared" si="12"/>
        <v>1.0149196130478502E-2</v>
      </c>
      <c r="Z59" s="42"/>
      <c r="AS59" s="61"/>
      <c r="AT59" s="61"/>
    </row>
    <row r="60" spans="1:46" ht="12.4" customHeight="1" x14ac:dyDescent="0.2">
      <c r="A60" s="1">
        <v>65.416816711425781</v>
      </c>
      <c r="B60" s="42">
        <v>9.5177664974619282E-4</v>
      </c>
      <c r="C60" s="42">
        <f t="shared" si="1"/>
        <v>0.99904822335025378</v>
      </c>
      <c r="D60" s="72">
        <f t="shared" si="2"/>
        <v>3.8071065989847715E-4</v>
      </c>
      <c r="E60" s="126">
        <f>(2*Table!$AC$16*0.147)/A60</f>
        <v>1.4010936311609772</v>
      </c>
      <c r="F60" s="126">
        <f t="shared" si="3"/>
        <v>2.8021872623219544</v>
      </c>
      <c r="G60" s="1">
        <f>IF((('Raw Data'!C60)/('Raw Data'!C$136)*100)&lt;0,0,('Raw Data'!C60)/('Raw Data'!C$136)*100)</f>
        <v>9.5177664974619366E-2</v>
      </c>
      <c r="H60" s="1">
        <f t="shared" si="4"/>
        <v>3.807106598984792E-2</v>
      </c>
      <c r="I60" s="83">
        <f t="shared" si="5"/>
        <v>4.5239120558704715E-2</v>
      </c>
      <c r="J60" s="126">
        <f>'Raw Data'!F60/I60</f>
        <v>8.4155185864952572E-3</v>
      </c>
      <c r="K60" s="123">
        <f t="shared" si="6"/>
        <v>0.11738543924170497</v>
      </c>
      <c r="L60" s="1">
        <f>A60*Table!$AC$9/$AC$16</f>
        <v>14.68852583602636</v>
      </c>
      <c r="M60" s="1">
        <f>A60*Table!$AD$9/$AC$16</f>
        <v>5.0360660009233236</v>
      </c>
      <c r="N60" s="1">
        <f>ABS(A60*Table!$AE$9/$AC$16)</f>
        <v>6.3603182590714438</v>
      </c>
      <c r="O60" s="1">
        <f>($L60*(Table!$AC$10/Table!$AC$9)/(Table!$AC$12-Table!$AC$14))</f>
        <v>31.506919425195971</v>
      </c>
      <c r="P60" s="1">
        <f>ROUND(($N60*(Table!$AE$10/Table!$AE$9)/(Table!$AC$12-Table!$AC$13)),2)</f>
        <v>52.22</v>
      </c>
      <c r="Q60" s="1">
        <f>'Raw Data'!C60</f>
        <v>1.5000000000000013E-3</v>
      </c>
      <c r="R60" s="1">
        <f>'Raw Data'!C60/'Raw Data'!I$30*100</f>
        <v>1.3743954667946458E-2</v>
      </c>
      <c r="S60" s="128">
        <f t="shared" si="7"/>
        <v>4.9999999999999975E-3</v>
      </c>
      <c r="T60" s="128">
        <f t="shared" si="8"/>
        <v>0.96135980087746653</v>
      </c>
      <c r="U60" s="5">
        <f t="shared" si="9"/>
        <v>2.1009818818569815E-4</v>
      </c>
      <c r="V60" s="5">
        <f t="shared" si="10"/>
        <v>2.4109545156785815E-4</v>
      </c>
      <c r="W60" s="5">
        <f t="shared" si="11"/>
        <v>1.2269146020499071E-3</v>
      </c>
      <c r="X60" s="104">
        <f t="shared" si="12"/>
        <v>1.1376110732528409E-2</v>
      </c>
      <c r="Z60" s="42"/>
      <c r="AS60" s="61"/>
      <c r="AT60" s="61"/>
    </row>
    <row r="61" spans="1:46" ht="12.4" customHeight="1" x14ac:dyDescent="0.2">
      <c r="A61" s="1">
        <v>72.498161315917969</v>
      </c>
      <c r="B61" s="42">
        <v>1.7766497461928932E-3</v>
      </c>
      <c r="C61" s="42">
        <f t="shared" si="1"/>
        <v>0.99822335025380715</v>
      </c>
      <c r="D61" s="72">
        <f t="shared" si="2"/>
        <v>8.248730964467004E-4</v>
      </c>
      <c r="E61" s="126">
        <f>(2*Table!$AC$16*0.147)/A61</f>
        <v>1.2642401352195329</v>
      </c>
      <c r="F61" s="126">
        <f t="shared" si="3"/>
        <v>2.5284802704390659</v>
      </c>
      <c r="G61" s="1">
        <f>IF((('Raw Data'!C61)/('Raw Data'!C$136)*100)&lt;0,0,('Raw Data'!C61)/('Raw Data'!C$136)*100)</f>
        <v>0.17766497461928915</v>
      </c>
      <c r="H61" s="1">
        <f t="shared" si="4"/>
        <v>8.2487309644669785E-2</v>
      </c>
      <c r="I61" s="83">
        <f t="shared" si="5"/>
        <v>4.4637585391472473E-2</v>
      </c>
      <c r="J61" s="126">
        <f>'Raw Data'!F61/I61</f>
        <v>1.8479339534442668E-2</v>
      </c>
      <c r="K61" s="123">
        <f t="shared" si="6"/>
        <v>0.13009236673539645</v>
      </c>
      <c r="L61" s="1">
        <f>A61*Table!$AC$9/$AC$16</f>
        <v>16.278552963694924</v>
      </c>
      <c r="M61" s="1">
        <f>A61*Table!$AD$9/$AC$16</f>
        <v>5.581218158981117</v>
      </c>
      <c r="N61" s="1">
        <f>ABS(A61*Table!$AE$9/$AC$16)</f>
        <v>7.0488202017051336</v>
      </c>
      <c r="O61" s="1">
        <f>($L61*(Table!$AC$10/Table!$AC$9)/(Table!$AC$12-Table!$AC$14))</f>
        <v>34.91753102465664</v>
      </c>
      <c r="P61" s="1">
        <f>ROUND(($N61*(Table!$AE$10/Table!$AE$9)/(Table!$AC$12-Table!$AC$13)),2)</f>
        <v>57.87</v>
      </c>
      <c r="Q61" s="1">
        <f>'Raw Data'!C61</f>
        <v>2.7999999999999969E-3</v>
      </c>
      <c r="R61" s="1">
        <f>'Raw Data'!C61/'Raw Data'!I$30*100</f>
        <v>2.5655382046833337E-2</v>
      </c>
      <c r="S61" s="128">
        <f t="shared" si="7"/>
        <v>1.0833333333333327E-2</v>
      </c>
      <c r="T61" s="128">
        <f t="shared" si="8"/>
        <v>0.9540082864918602</v>
      </c>
      <c r="U61" s="5">
        <f t="shared" si="9"/>
        <v>3.5387631329072543E-4</v>
      </c>
      <c r="V61" s="5">
        <f t="shared" si="10"/>
        <v>5.822114902656265E-4</v>
      </c>
      <c r="W61" s="5">
        <f t="shared" si="11"/>
        <v>2.1643688076561172E-3</v>
      </c>
      <c r="X61" s="104">
        <f t="shared" si="12"/>
        <v>1.3540479540184527E-2</v>
      </c>
      <c r="Z61" s="42"/>
      <c r="AS61" s="61"/>
      <c r="AT61" s="61"/>
    </row>
    <row r="62" spans="1:46" ht="12.4" customHeight="1" x14ac:dyDescent="0.2">
      <c r="A62" s="1">
        <v>78.024925231933594</v>
      </c>
      <c r="B62" s="42">
        <v>2.7918781725888324E-3</v>
      </c>
      <c r="C62" s="42">
        <f t="shared" si="1"/>
        <v>0.99720812182741114</v>
      </c>
      <c r="D62" s="72">
        <f t="shared" si="2"/>
        <v>1.0152284263959391E-3</v>
      </c>
      <c r="E62" s="126">
        <f>(2*Table!$AC$16*0.147)/A62</f>
        <v>1.174689818577251</v>
      </c>
      <c r="F62" s="126">
        <f t="shared" si="3"/>
        <v>2.3493796371545019</v>
      </c>
      <c r="G62" s="1">
        <f>IF((('Raw Data'!C62)/('Raw Data'!C$136)*100)&lt;0,0,('Raw Data'!C62)/('Raw Data'!C$136)*100)</f>
        <v>0.27918781725888331</v>
      </c>
      <c r="H62" s="1">
        <f t="shared" si="4"/>
        <v>0.10152284263959416</v>
      </c>
      <c r="I62" s="83">
        <f t="shared" si="5"/>
        <v>3.1906368951497704E-2</v>
      </c>
      <c r="J62" s="126">
        <f>'Raw Data'!F62/I62</f>
        <v>3.1818989742744962E-2</v>
      </c>
      <c r="K62" s="123">
        <f t="shared" si="6"/>
        <v>0.14000971891608405</v>
      </c>
      <c r="L62" s="1">
        <f>A62*Table!$AC$9/$AC$16</f>
        <v>17.519518492912351</v>
      </c>
      <c r="M62" s="1">
        <f>A62*Table!$AD$9/$AC$16</f>
        <v>6.0066920547128051</v>
      </c>
      <c r="N62" s="1">
        <f>ABS(A62*Table!$AE$9/$AC$16)</f>
        <v>7.5861740384666794</v>
      </c>
      <c r="O62" s="1">
        <f>($L62*(Table!$AC$10/Table!$AC$9)/(Table!$AC$12-Table!$AC$14))</f>
        <v>37.579404746701741</v>
      </c>
      <c r="P62" s="1">
        <f>ROUND(($N62*(Table!$AE$10/Table!$AE$9)/(Table!$AC$12-Table!$AC$13)),2)</f>
        <v>62.28</v>
      </c>
      <c r="Q62" s="1">
        <f>'Raw Data'!C62</f>
        <v>4.4000000000000011E-3</v>
      </c>
      <c r="R62" s="1">
        <f>'Raw Data'!C62/'Raw Data'!I$30*100</f>
        <v>4.0315600359309589E-2</v>
      </c>
      <c r="S62" s="128">
        <f t="shared" si="7"/>
        <v>1.3333333333333327E-2</v>
      </c>
      <c r="T62" s="128">
        <f t="shared" si="8"/>
        <v>0.94619667377321492</v>
      </c>
      <c r="U62" s="5">
        <f t="shared" si="9"/>
        <v>5.1670155709177728E-4</v>
      </c>
      <c r="V62" s="5">
        <f t="shared" si="10"/>
        <v>1.104234590094342E-3</v>
      </c>
      <c r="W62" s="5">
        <f t="shared" si="11"/>
        <v>2.2998269497817572E-3</v>
      </c>
      <c r="X62" s="104">
        <f t="shared" si="12"/>
        <v>1.5840306489966285E-2</v>
      </c>
      <c r="Z62" s="42"/>
      <c r="AS62" s="61"/>
      <c r="AT62" s="61"/>
    </row>
    <row r="63" spans="1:46" x14ac:dyDescent="0.2">
      <c r="A63" s="1">
        <v>87.026710510253906</v>
      </c>
      <c r="B63" s="42">
        <v>5.8375634517766496E-3</v>
      </c>
      <c r="C63" s="42">
        <f t="shared" si="1"/>
        <v>0.99416243654822334</v>
      </c>
      <c r="D63" s="72">
        <f t="shared" si="2"/>
        <v>3.0456852791878172E-3</v>
      </c>
      <c r="E63" s="126">
        <f>(2*Table!$AC$16*0.147)/A63</f>
        <v>1.0531833816056324</v>
      </c>
      <c r="F63" s="126">
        <f t="shared" si="3"/>
        <v>2.1063667632112648</v>
      </c>
      <c r="G63" s="1">
        <f>IF((('Raw Data'!C63)/('Raw Data'!C$136)*100)&lt;0,0,('Raw Data'!C63)/('Raw Data'!C$136)*100)</f>
        <v>0.58375634517766495</v>
      </c>
      <c r="H63" s="1">
        <f t="shared" si="4"/>
        <v>0.30456852791878164</v>
      </c>
      <c r="I63" s="83">
        <f t="shared" si="5"/>
        <v>4.7419206928461272E-2</v>
      </c>
      <c r="J63" s="126">
        <f>'Raw Data'!F63/I63</f>
        <v>6.4228937522777904E-2</v>
      </c>
      <c r="K63" s="123">
        <f t="shared" si="6"/>
        <v>0.15616272928827149</v>
      </c>
      <c r="L63" s="1">
        <f>A63*Table!$AC$9/$AC$16</f>
        <v>19.54075649069275</v>
      </c>
      <c r="M63" s="1">
        <f>A63*Table!$AD$9/$AC$16</f>
        <v>6.6996879396660853</v>
      </c>
      <c r="N63" s="1">
        <f>ABS(A63*Table!$AE$9/$AC$16)</f>
        <v>8.4613957650527887</v>
      </c>
      <c r="O63" s="1">
        <f>($L63*(Table!$AC$10/Table!$AC$9)/(Table!$AC$12-Table!$AC$14))</f>
        <v>41.914964587500542</v>
      </c>
      <c r="P63" s="1">
        <f>ROUND(($N63*(Table!$AE$10/Table!$AE$9)/(Table!$AC$12-Table!$AC$13)),2)</f>
        <v>69.47</v>
      </c>
      <c r="Q63" s="1">
        <f>'Raw Data'!C63</f>
        <v>9.1999999999999998E-3</v>
      </c>
      <c r="R63" s="1">
        <f>'Raw Data'!C63/'Raw Data'!I$30*100</f>
        <v>8.4296255296738204E-2</v>
      </c>
      <c r="S63" s="128">
        <f t="shared" si="7"/>
        <v>3.999999999999998E-2</v>
      </c>
      <c r="T63" s="128">
        <f t="shared" si="8"/>
        <v>0.92735916165458254</v>
      </c>
      <c r="U63" s="5">
        <f t="shared" si="9"/>
        <v>9.6862508995793897E-4</v>
      </c>
      <c r="V63" s="5">
        <f t="shared" si="10"/>
        <v>3.195672080948972E-3</v>
      </c>
      <c r="W63" s="5">
        <f t="shared" si="11"/>
        <v>5.5459761764513728E-3</v>
      </c>
      <c r="X63" s="104">
        <f t="shared" si="12"/>
        <v>2.1386282666417657E-2</v>
      </c>
      <c r="AS63" s="61"/>
      <c r="AT63" s="61"/>
    </row>
    <row r="64" spans="1:46" x14ac:dyDescent="0.2">
      <c r="A64" s="1">
        <v>93.615623474121094</v>
      </c>
      <c r="B64" s="42">
        <v>8.6928934010152281E-3</v>
      </c>
      <c r="C64" s="42">
        <f t="shared" si="1"/>
        <v>0.9913071065989848</v>
      </c>
      <c r="D64" s="72">
        <f t="shared" si="2"/>
        <v>2.8553299492385786E-3</v>
      </c>
      <c r="E64" s="126">
        <f>(2*Table!$AC$16*0.147)/A64</f>
        <v>0.97905757462097742</v>
      </c>
      <c r="F64" s="126">
        <f t="shared" si="3"/>
        <v>1.9581151492419548</v>
      </c>
      <c r="G64" s="1">
        <f>IF((('Raw Data'!C64)/('Raw Data'!C$136)*100)&lt;0,0,('Raw Data'!C64)/('Raw Data'!C$136)*100)</f>
        <v>0.86928934010152259</v>
      </c>
      <c r="H64" s="1">
        <f t="shared" si="4"/>
        <v>0.28553299492385764</v>
      </c>
      <c r="I64" s="83">
        <f t="shared" si="5"/>
        <v>3.1695765920380689E-2</v>
      </c>
      <c r="J64" s="126">
        <f>'Raw Data'!F64/I64</f>
        <v>9.0085532446545852E-2</v>
      </c>
      <c r="K64" s="123">
        <f t="shared" si="6"/>
        <v>0.16798602612952276</v>
      </c>
      <c r="L64" s="1">
        <f>A64*Table!$AC$9/$AC$16</f>
        <v>21.020214268774883</v>
      </c>
      <c r="M64" s="1">
        <f>A64*Table!$AD$9/$AC$16</f>
        <v>7.206930606437103</v>
      </c>
      <c r="N64" s="1">
        <f>ABS(A64*Table!$AE$9/$AC$16)</f>
        <v>9.1020197748755951</v>
      </c>
      <c r="O64" s="1">
        <f>($L64*(Table!$AC$10/Table!$AC$9)/(Table!$AC$12-Table!$AC$14))</f>
        <v>45.088404694926822</v>
      </c>
      <c r="P64" s="1">
        <f>ROUND(($N64*(Table!$AE$10/Table!$AE$9)/(Table!$AC$12-Table!$AC$13)),2)</f>
        <v>74.73</v>
      </c>
      <c r="Q64" s="1">
        <f>'Raw Data'!C64</f>
        <v>1.3699999999999997E-2</v>
      </c>
      <c r="R64" s="1">
        <f>'Raw Data'!C64/'Raw Data'!I$30*100</f>
        <v>0.12552811930057753</v>
      </c>
      <c r="S64" s="128">
        <f t="shared" si="7"/>
        <v>3.7499999999999985E-2</v>
      </c>
      <c r="T64" s="128">
        <f t="shared" si="8"/>
        <v>0.91209744840909257</v>
      </c>
      <c r="U64" s="5">
        <f t="shared" si="9"/>
        <v>1.3408885679779537E-3</v>
      </c>
      <c r="V64" s="5">
        <f t="shared" si="10"/>
        <v>5.538522588672606E-3</v>
      </c>
      <c r="W64" s="5">
        <f t="shared" si="11"/>
        <v>4.4932206301064549E-3</v>
      </c>
      <c r="X64" s="104">
        <f t="shared" si="12"/>
        <v>2.5879503296524112E-2</v>
      </c>
      <c r="AS64" s="61"/>
      <c r="AT64" s="61"/>
    </row>
    <row r="65" spans="1:46" x14ac:dyDescent="0.2">
      <c r="A65" s="1">
        <v>101.14696502685547</v>
      </c>
      <c r="B65" s="42">
        <v>1.3261421319796953E-2</v>
      </c>
      <c r="C65" s="42">
        <f t="shared" si="1"/>
        <v>0.98673857868020309</v>
      </c>
      <c r="D65" s="72">
        <f t="shared" si="2"/>
        <v>4.5685279187817254E-3</v>
      </c>
      <c r="E65" s="126">
        <f>(2*Table!$AC$16*0.147)/A65</f>
        <v>0.90615754255076608</v>
      </c>
      <c r="F65" s="126">
        <f t="shared" si="3"/>
        <v>1.8123150851015322</v>
      </c>
      <c r="G65" s="1">
        <f>IF((('Raw Data'!C65)/('Raw Data'!C$136)*100)&lt;0,0,('Raw Data'!C65)/('Raw Data'!C$136)*100)</f>
        <v>1.3261421319796951</v>
      </c>
      <c r="H65" s="1">
        <f t="shared" si="4"/>
        <v>0.45685279187817252</v>
      </c>
      <c r="I65" s="83">
        <f t="shared" si="5"/>
        <v>3.3604522025461103E-2</v>
      </c>
      <c r="J65" s="126">
        <f>'Raw Data'!F65/I65</f>
        <v>0.13594979614113517</v>
      </c>
      <c r="K65" s="123">
        <f t="shared" si="6"/>
        <v>0.18150043848845701</v>
      </c>
      <c r="L65" s="1">
        <f>A65*Table!$AC$9/$AC$16</f>
        <v>22.71128256800559</v>
      </c>
      <c r="M65" s="1">
        <f>A65*Table!$AD$9/$AC$16</f>
        <v>7.786725451887631</v>
      </c>
      <c r="N65" s="1">
        <f>ABS(A65*Table!$AE$9/$AC$16)</f>
        <v>9.8342738282097635</v>
      </c>
      <c r="O65" s="1">
        <f>($L65*(Table!$AC$10/Table!$AC$9)/(Table!$AC$12-Table!$AC$14))</f>
        <v>48.715749824121822</v>
      </c>
      <c r="P65" s="1">
        <f>ROUND(($N65*(Table!$AE$10/Table!$AE$9)/(Table!$AC$12-Table!$AC$13)),2)</f>
        <v>80.739999999999995</v>
      </c>
      <c r="Q65" s="1">
        <f>'Raw Data'!C65</f>
        <v>2.0899999999999995E-2</v>
      </c>
      <c r="R65" s="1">
        <f>'Raw Data'!C65/'Raw Data'!I$30*100</f>
        <v>0.19149910170672044</v>
      </c>
      <c r="S65" s="128">
        <f t="shared" si="7"/>
        <v>5.9999999999999963E-2</v>
      </c>
      <c r="T65" s="128">
        <f t="shared" si="8"/>
        <v>0.89117973406609574</v>
      </c>
      <c r="U65" s="5">
        <f t="shared" si="9"/>
        <v>1.8932758057137516E-3</v>
      </c>
      <c r="V65" s="5">
        <f t="shared" si="10"/>
        <v>9.9252527563605253E-3</v>
      </c>
      <c r="W65" s="5">
        <f t="shared" si="11"/>
        <v>6.1584111894123217E-3</v>
      </c>
      <c r="X65" s="104">
        <f t="shared" si="12"/>
        <v>3.2037914485936431E-2</v>
      </c>
      <c r="AS65" s="61"/>
      <c r="AT65" s="61"/>
    </row>
    <row r="66" spans="1:46" x14ac:dyDescent="0.2">
      <c r="A66" s="1">
        <v>112.00489807128906</v>
      </c>
      <c r="B66" s="42">
        <v>3.3058375634517766E-2</v>
      </c>
      <c r="C66" s="42">
        <f t="shared" si="1"/>
        <v>0.96694162436548226</v>
      </c>
      <c r="D66" s="72">
        <f t="shared" si="2"/>
        <v>1.979695431472081E-2</v>
      </c>
      <c r="E66" s="126">
        <f>(2*Table!$AC$16*0.147)/A66</f>
        <v>0.81831318847205115</v>
      </c>
      <c r="F66" s="126">
        <f t="shared" si="3"/>
        <v>1.6366263769441023</v>
      </c>
      <c r="G66" s="1">
        <f>IF((('Raw Data'!C66)/('Raw Data'!C$136)*100)&lt;0,0,('Raw Data'!C66)/('Raw Data'!C$136)*100)</f>
        <v>3.3058375634517767</v>
      </c>
      <c r="H66" s="1">
        <f t="shared" si="4"/>
        <v>1.9796954314720816</v>
      </c>
      <c r="I66" s="83">
        <f t="shared" si="5"/>
        <v>4.42841591142542E-2</v>
      </c>
      <c r="J66" s="126">
        <f>'Raw Data'!F66/I66</f>
        <v>0.44704369938795036</v>
      </c>
      <c r="K66" s="123">
        <f t="shared" si="6"/>
        <v>0.20098416306803049</v>
      </c>
      <c r="L66" s="1">
        <f>A66*Table!$AC$9/$AC$16</f>
        <v>25.149295269732654</v>
      </c>
      <c r="M66" s="1">
        <f>A66*Table!$AD$9/$AC$16</f>
        <v>8.6226155210511948</v>
      </c>
      <c r="N66" s="1">
        <f>ABS(A66*Table!$AE$9/$AC$16)</f>
        <v>10.889964295432147</v>
      </c>
      <c r="O66" s="1">
        <f>($L66*(Table!$AC$10/Table!$AC$9)/(Table!$AC$12-Table!$AC$14))</f>
        <v>53.945292298868857</v>
      </c>
      <c r="P66" s="1">
        <f>ROUND(($N66*(Table!$AE$10/Table!$AE$9)/(Table!$AC$12-Table!$AC$13)),2)</f>
        <v>89.41</v>
      </c>
      <c r="Q66" s="1">
        <f>'Raw Data'!C66</f>
        <v>5.21E-2</v>
      </c>
      <c r="R66" s="1">
        <f>'Raw Data'!C66/'Raw Data'!I$30*100</f>
        <v>0.47737335880000659</v>
      </c>
      <c r="S66" s="128">
        <f t="shared" si="7"/>
        <v>0.25999999999999984</v>
      </c>
      <c r="T66" s="128">
        <f t="shared" si="8"/>
        <v>0.81725870447187066</v>
      </c>
      <c r="U66" s="5">
        <f t="shared" si="9"/>
        <v>4.2620757397249468E-3</v>
      </c>
      <c r="V66" s="5">
        <f t="shared" si="10"/>
        <v>3.9143736794956793E-2</v>
      </c>
      <c r="W66" s="5">
        <f t="shared" si="11"/>
        <v>2.1763185418887065E-2</v>
      </c>
      <c r="X66" s="104">
        <f t="shared" si="12"/>
        <v>5.3801099904823499E-2</v>
      </c>
      <c r="AS66" s="61"/>
      <c r="AT66" s="61"/>
    </row>
    <row r="67" spans="1:46" x14ac:dyDescent="0.2">
      <c r="A67" s="1">
        <v>121.45084381103516</v>
      </c>
      <c r="B67" s="42">
        <v>6.0152284263959382E-2</v>
      </c>
      <c r="C67" s="42">
        <f t="shared" si="1"/>
        <v>0.93984771573604065</v>
      </c>
      <c r="D67" s="72">
        <f t="shared" si="2"/>
        <v>2.7093908629441617E-2</v>
      </c>
      <c r="E67" s="126">
        <f>(2*Table!$AC$16*0.147)/A67</f>
        <v>0.75466816358896105</v>
      </c>
      <c r="F67" s="126">
        <f t="shared" si="3"/>
        <v>1.5093363271779221</v>
      </c>
      <c r="G67" s="1">
        <f>IF((('Raw Data'!C67)/('Raw Data'!C$136)*100)&lt;0,0,('Raw Data'!C67)/('Raw Data'!C$136)*100)</f>
        <v>6.0152284263959386</v>
      </c>
      <c r="H67" s="1">
        <f t="shared" si="4"/>
        <v>2.7093908629441619</v>
      </c>
      <c r="I67" s="83">
        <f t="shared" si="5"/>
        <v>3.5163521364817082E-2</v>
      </c>
      <c r="J67" s="126">
        <f>'Raw Data'!F67/I67</f>
        <v>0.77051181388649181</v>
      </c>
      <c r="K67" s="123">
        <f t="shared" si="6"/>
        <v>0.21793418517938978</v>
      </c>
      <c r="L67" s="1">
        <f>A67*Table!$AC$9/$AC$16</f>
        <v>27.270263929152762</v>
      </c>
      <c r="M67" s="1">
        <f>A67*Table!$AD$9/$AC$16</f>
        <v>9.3498047757095186</v>
      </c>
      <c r="N67" s="1">
        <f>ABS(A67*Table!$AE$9/$AC$16)</f>
        <v>11.808370665276367</v>
      </c>
      <c r="O67" s="1">
        <f>($L67*(Table!$AC$10/Table!$AC$9)/(Table!$AC$12-Table!$AC$14))</f>
        <v>58.494774622807306</v>
      </c>
      <c r="P67" s="1">
        <f>ROUND(($N67*(Table!$AE$10/Table!$AE$9)/(Table!$AC$12-Table!$AC$13)),2)</f>
        <v>96.95</v>
      </c>
      <c r="Q67" s="1">
        <f>'Raw Data'!C67</f>
        <v>9.4799999999999995E-2</v>
      </c>
      <c r="R67" s="1">
        <f>'Raw Data'!C67/'Raw Data'!I$30*100</f>
        <v>0.86861793501421536</v>
      </c>
      <c r="S67" s="128">
        <f t="shared" si="7"/>
        <v>0.35583333333333306</v>
      </c>
      <c r="T67" s="128">
        <f t="shared" si="8"/>
        <v>0.73121596177188275</v>
      </c>
      <c r="U67" s="5">
        <f t="shared" si="9"/>
        <v>7.1520123513155185E-3</v>
      </c>
      <c r="V67" s="5">
        <f t="shared" si="10"/>
        <v>9.3931460759706653E-2</v>
      </c>
      <c r="W67" s="5">
        <f t="shared" si="11"/>
        <v>2.5331954568388708E-2</v>
      </c>
      <c r="X67" s="104">
        <f t="shared" si="12"/>
        <v>7.91330544732122E-2</v>
      </c>
      <c r="AS67" s="61"/>
      <c r="AT67" s="61"/>
    </row>
    <row r="68" spans="1:46" x14ac:dyDescent="0.2">
      <c r="A68" s="1">
        <v>132.34272766113281</v>
      </c>
      <c r="B68" s="42">
        <v>0.10279187817258884</v>
      </c>
      <c r="C68" s="42">
        <f t="shared" si="1"/>
        <v>0.89720812182741116</v>
      </c>
      <c r="D68" s="72">
        <f t="shared" si="2"/>
        <v>4.2639593908629453E-2</v>
      </c>
      <c r="E68" s="126">
        <f>(2*Table!$AC$16*0.147)/A68</f>
        <v>0.69255853256923194</v>
      </c>
      <c r="F68" s="126">
        <f t="shared" si="3"/>
        <v>1.3851170651384639</v>
      </c>
      <c r="G68" s="1">
        <f>IF((('Raw Data'!C68)/('Raw Data'!C$136)*100)&lt;0,0,('Raw Data'!C68)/('Raw Data'!C$136)*100)</f>
        <v>10.279187817258883</v>
      </c>
      <c r="H68" s="1">
        <f t="shared" si="4"/>
        <v>4.2639593908629445</v>
      </c>
      <c r="I68" s="83">
        <f t="shared" si="5"/>
        <v>3.7299544939006321E-2</v>
      </c>
      <c r="J68" s="126">
        <f>'Raw Data'!F68/I68</f>
        <v>1.1431665983688377</v>
      </c>
      <c r="K68" s="123">
        <f t="shared" si="6"/>
        <v>0.2374788318648656</v>
      </c>
      <c r="L68" s="1">
        <f>A68*Table!$AC$9/$AC$16</f>
        <v>29.715899858533202</v>
      </c>
      <c r="M68" s="1">
        <f>A68*Table!$AD$9/$AC$16</f>
        <v>10.188308522925668</v>
      </c>
      <c r="N68" s="1">
        <f>ABS(A68*Table!$AE$9/$AC$16)</f>
        <v>12.86736208690208</v>
      </c>
      <c r="O68" s="1">
        <f>($L68*(Table!$AC$10/Table!$AC$9)/(Table!$AC$12-Table!$AC$14))</f>
        <v>63.740668937222665</v>
      </c>
      <c r="P68" s="1">
        <f>ROUND(($N68*(Table!$AE$10/Table!$AE$9)/(Table!$AC$12-Table!$AC$13)),2)</f>
        <v>105.64</v>
      </c>
      <c r="Q68" s="1">
        <f>'Raw Data'!C68</f>
        <v>0.16200000000000001</v>
      </c>
      <c r="R68" s="1">
        <f>'Raw Data'!C68/'Raw Data'!I$30*100</f>
        <v>1.4843471041382161</v>
      </c>
      <c r="S68" s="128">
        <f t="shared" si="7"/>
        <v>0.55999999999999994</v>
      </c>
      <c r="T68" s="128">
        <f t="shared" si="8"/>
        <v>0.61717613375875202</v>
      </c>
      <c r="U68" s="5">
        <f t="shared" si="9"/>
        <v>1.1215932528902741E-2</v>
      </c>
      <c r="V68" s="5">
        <f t="shared" si="10"/>
        <v>0.20102243851028143</v>
      </c>
      <c r="W68" s="5">
        <f t="shared" si="11"/>
        <v>3.357461247241135E-2</v>
      </c>
      <c r="X68" s="104">
        <f t="shared" si="12"/>
        <v>0.11270766694562355</v>
      </c>
      <c r="AS68" s="61"/>
      <c r="AT68" s="61"/>
    </row>
    <row r="69" spans="1:46" x14ac:dyDescent="0.2">
      <c r="A69" s="1">
        <v>146.10365295410156</v>
      </c>
      <c r="B69" s="42">
        <v>0.17208121827411166</v>
      </c>
      <c r="C69" s="42">
        <f t="shared" si="1"/>
        <v>0.8279187817258884</v>
      </c>
      <c r="D69" s="72">
        <f t="shared" si="2"/>
        <v>6.9289340101522823E-2</v>
      </c>
      <c r="E69" s="126">
        <f>(2*Table!$AC$16*0.147)/A69</f>
        <v>0.62732918316557817</v>
      </c>
      <c r="F69" s="126">
        <f t="shared" si="3"/>
        <v>1.2546583663311563</v>
      </c>
      <c r="G69" s="1">
        <f>IF((('Raw Data'!C69)/('Raw Data'!C$136)*100)&lt;0,0,('Raw Data'!C69)/('Raw Data'!C$136)*100)</f>
        <v>17.208121827411166</v>
      </c>
      <c r="H69" s="1">
        <f t="shared" si="4"/>
        <v>6.9289340101522825</v>
      </c>
      <c r="I69" s="83">
        <f t="shared" si="5"/>
        <v>4.2960993046982671E-2</v>
      </c>
      <c r="J69" s="126">
        <f>'Raw Data'!F69/I69</f>
        <v>1.6128430743150455</v>
      </c>
      <c r="K69" s="123">
        <f t="shared" si="6"/>
        <v>0.26217175244846974</v>
      </c>
      <c r="L69" s="1">
        <f>A69*Table!$AC$9/$AC$16</f>
        <v>32.805743064830587</v>
      </c>
      <c r="M69" s="1">
        <f>A69*Table!$AD$9/$AC$16</f>
        <v>11.247683336513344</v>
      </c>
      <c r="N69" s="1">
        <f>ABS(A69*Table!$AE$9/$AC$16)</f>
        <v>14.205303442084228</v>
      </c>
      <c r="O69" s="1">
        <f>($L69*(Table!$AC$10/Table!$AC$9)/(Table!$AC$12-Table!$AC$14))</f>
        <v>70.36838924245086</v>
      </c>
      <c r="P69" s="1">
        <f>ROUND(($N69*(Table!$AE$10/Table!$AE$9)/(Table!$AC$12-Table!$AC$13)),2)</f>
        <v>116.63</v>
      </c>
      <c r="Q69" s="1">
        <f>'Raw Data'!C69</f>
        <v>0.2712</v>
      </c>
      <c r="R69" s="1">
        <f>'Raw Data'!C69/'Raw Data'!I$30*100</f>
        <v>2.4849070039647176</v>
      </c>
      <c r="S69" s="128">
        <f t="shared" si="7"/>
        <v>0.90999999999999936</v>
      </c>
      <c r="T69" s="128">
        <f t="shared" si="8"/>
        <v>0.46512560565265459</v>
      </c>
      <c r="U69" s="5">
        <f t="shared" si="9"/>
        <v>1.70078362431181E-2</v>
      </c>
      <c r="V69" s="5">
        <f t="shared" si="10"/>
        <v>0.40644376503799784</v>
      </c>
      <c r="W69" s="5">
        <f t="shared" si="11"/>
        <v>4.476539158582301E-2</v>
      </c>
      <c r="X69" s="104">
        <f t="shared" si="12"/>
        <v>0.15747305853144655</v>
      </c>
      <c r="AS69" s="61"/>
      <c r="AT69" s="61"/>
    </row>
    <row r="70" spans="1:46" x14ac:dyDescent="0.2">
      <c r="A70" s="1">
        <v>159.38531494140625</v>
      </c>
      <c r="B70" s="42">
        <v>0.24473350253807105</v>
      </c>
      <c r="C70" s="42">
        <f t="shared" si="1"/>
        <v>0.75526649746192898</v>
      </c>
      <c r="D70" s="72">
        <f t="shared" si="2"/>
        <v>7.2652284263959394E-2</v>
      </c>
      <c r="E70" s="126">
        <f>(2*Table!$AC$16*0.147)/A70</f>
        <v>0.57505351292180329</v>
      </c>
      <c r="F70" s="126">
        <f t="shared" si="3"/>
        <v>1.1501070258436066</v>
      </c>
      <c r="G70" s="1">
        <f>IF((('Raw Data'!C70)/('Raw Data'!C$136)*100)&lt;0,0,('Raw Data'!C70)/('Raw Data'!C$136)*100)</f>
        <v>24.473350253807105</v>
      </c>
      <c r="H70" s="1">
        <f t="shared" si="4"/>
        <v>7.2652284263959395</v>
      </c>
      <c r="I70" s="83">
        <f t="shared" si="5"/>
        <v>3.7787230418473094E-2</v>
      </c>
      <c r="J70" s="126">
        <f>'Raw Data'!F70/I70</f>
        <v>1.9226676170593804</v>
      </c>
      <c r="K70" s="123">
        <f t="shared" si="6"/>
        <v>0.28600467194250723</v>
      </c>
      <c r="L70" s="1">
        <f>A70*Table!$AC$9/$AC$16</f>
        <v>35.787973706020125</v>
      </c>
      <c r="M70" s="1">
        <f>A70*Table!$AD$9/$AC$16</f>
        <v>12.270162413492615</v>
      </c>
      <c r="N70" s="1">
        <f>ABS(A70*Table!$AE$9/$AC$16)</f>
        <v>15.496647189691476</v>
      </c>
      <c r="O70" s="1">
        <f>($L70*(Table!$AC$10/Table!$AC$9)/(Table!$AC$12-Table!$AC$14))</f>
        <v>76.765280364693538</v>
      </c>
      <c r="P70" s="1">
        <f>ROUND(($N70*(Table!$AE$10/Table!$AE$9)/(Table!$AC$12-Table!$AC$13)),2)</f>
        <v>127.23</v>
      </c>
      <c r="Q70" s="1">
        <f>'Raw Data'!C70</f>
        <v>0.38569999999999999</v>
      </c>
      <c r="R70" s="1">
        <f>'Raw Data'!C70/'Raw Data'!I$30*100</f>
        <v>3.5340288769512966</v>
      </c>
      <c r="S70" s="128">
        <f t="shared" si="7"/>
        <v>0.95416666666666627</v>
      </c>
      <c r="T70" s="128">
        <f t="shared" si="8"/>
        <v>0.3311590719720493</v>
      </c>
      <c r="U70" s="5">
        <f t="shared" si="9"/>
        <v>2.2172863781399734E-2</v>
      </c>
      <c r="V70" s="5">
        <f t="shared" si="10"/>
        <v>0.63644010799420603</v>
      </c>
      <c r="W70" s="5">
        <f t="shared" si="11"/>
        <v>3.9441259522775406E-2</v>
      </c>
      <c r="X70" s="104">
        <f t="shared" si="12"/>
        <v>0.19691431805422197</v>
      </c>
      <c r="AS70" s="61"/>
      <c r="AT70" s="61"/>
    </row>
    <row r="71" spans="1:46" x14ac:dyDescent="0.2">
      <c r="A71" s="1">
        <v>173.61466979980469</v>
      </c>
      <c r="B71" s="42">
        <v>0.32087563451776652</v>
      </c>
      <c r="C71" s="42">
        <f t="shared" si="1"/>
        <v>0.67912436548223343</v>
      </c>
      <c r="D71" s="72">
        <f t="shared" si="2"/>
        <v>7.6142131979695465E-2</v>
      </c>
      <c r="E71" s="126">
        <f>(2*Table!$AC$16*0.147)/A71</f>
        <v>0.52792246974804169</v>
      </c>
      <c r="F71" s="126">
        <f t="shared" si="3"/>
        <v>1.0558449394960834</v>
      </c>
      <c r="G71" s="1">
        <f>IF((('Raw Data'!C71)/('Raw Data'!C$136)*100)&lt;0,0,('Raw Data'!C71)/('Raw Data'!C$136)*100)</f>
        <v>32.087563451776653</v>
      </c>
      <c r="H71" s="1">
        <f t="shared" si="4"/>
        <v>7.6142131979695478</v>
      </c>
      <c r="I71" s="83">
        <f t="shared" si="5"/>
        <v>3.7138113745274232E-2</v>
      </c>
      <c r="J71" s="126">
        <f>'Raw Data'!F71/I71</f>
        <v>2.0502423063795057</v>
      </c>
      <c r="K71" s="123">
        <f t="shared" si="6"/>
        <v>0.31153815330323276</v>
      </c>
      <c r="L71" s="1">
        <f>A71*Table!$AC$9/$AC$16</f>
        <v>38.982996896915736</v>
      </c>
      <c r="M71" s="1">
        <f>A71*Table!$AD$9/$AC$16</f>
        <v>13.365598936085394</v>
      </c>
      <c r="N71" s="1">
        <f>ABS(A71*Table!$AE$9/$AC$16)</f>
        <v>16.880132814189484</v>
      </c>
      <c r="O71" s="1">
        <f>($L71*(Table!$AC$10/Table!$AC$9)/(Table!$AC$12-Table!$AC$14))</f>
        <v>83.618611962496217</v>
      </c>
      <c r="P71" s="1">
        <f>ROUND(($N71*(Table!$AE$10/Table!$AE$9)/(Table!$AC$12-Table!$AC$13)),2)</f>
        <v>138.59</v>
      </c>
      <c r="Q71" s="1">
        <f>'Raw Data'!C71</f>
        <v>0.50570000000000004</v>
      </c>
      <c r="R71" s="1">
        <f>'Raw Data'!C71/'Raw Data'!I$30*100</f>
        <v>4.6335452503870123</v>
      </c>
      <c r="S71" s="128">
        <f t="shared" si="7"/>
        <v>1</v>
      </c>
      <c r="T71" s="128">
        <f t="shared" si="8"/>
        <v>0.21282880285216332</v>
      </c>
      <c r="U71" s="5">
        <f t="shared" si="9"/>
        <v>2.6688673576547188E-2</v>
      </c>
      <c r="V71" s="5">
        <f t="shared" si="10"/>
        <v>0.87074669692261375</v>
      </c>
      <c r="W71" s="5">
        <f t="shared" si="11"/>
        <v>3.4837766758108998E-2</v>
      </c>
      <c r="X71" s="104">
        <f t="shared" si="12"/>
        <v>0.23175208481233095</v>
      </c>
      <c r="AS71" s="61"/>
      <c r="AT71" s="61"/>
    </row>
    <row r="72" spans="1:46" x14ac:dyDescent="0.2">
      <c r="A72" s="1">
        <v>190.53811645507812</v>
      </c>
      <c r="B72" s="42">
        <v>0.37379441624365478</v>
      </c>
      <c r="C72" s="42">
        <f t="shared" si="1"/>
        <v>0.62620558375634516</v>
      </c>
      <c r="D72" s="72">
        <f t="shared" si="2"/>
        <v>5.2918781725888264E-2</v>
      </c>
      <c r="E72" s="126">
        <f>(2*Table!$AC$16*0.147)/A72</f>
        <v>0.48103280839774931</v>
      </c>
      <c r="F72" s="126">
        <f t="shared" si="3"/>
        <v>0.96206561679549862</v>
      </c>
      <c r="G72" s="1">
        <f>IF((('Raw Data'!C72)/('Raw Data'!C$136)*100)&lt;0,0,('Raw Data'!C72)/('Raw Data'!C$136)*100)</f>
        <v>37.379441624365477</v>
      </c>
      <c r="H72" s="1">
        <f t="shared" si="4"/>
        <v>5.2918781725888238</v>
      </c>
      <c r="I72" s="83">
        <f t="shared" si="5"/>
        <v>4.0395449055232513E-2</v>
      </c>
      <c r="J72" s="126">
        <f>'Raw Data'!F72/I72</f>
        <v>1.3100184046359444</v>
      </c>
      <c r="K72" s="123">
        <f t="shared" si="6"/>
        <v>0.3419059748968179</v>
      </c>
      <c r="L72" s="1">
        <f>A72*Table!$AC$9/$AC$16</f>
        <v>42.782944615667695</v>
      </c>
      <c r="M72" s="1">
        <f>A72*Table!$AD$9/$AC$16</f>
        <v>14.66843815394321</v>
      </c>
      <c r="N72" s="1">
        <f>ABS(A72*Table!$AE$9/$AC$16)</f>
        <v>18.525558442935449</v>
      </c>
      <c r="O72" s="1">
        <f>($L72*(Table!$AC$10/Table!$AC$9)/(Table!$AC$12-Table!$AC$14))</f>
        <v>91.769507970115185</v>
      </c>
      <c r="P72" s="1">
        <f>ROUND(($N72*(Table!$AE$10/Table!$AE$9)/(Table!$AC$12-Table!$AC$13)),2)</f>
        <v>152.1</v>
      </c>
      <c r="Q72" s="1">
        <f>'Raw Data'!C72</f>
        <v>0.58909999999999996</v>
      </c>
      <c r="R72" s="1">
        <f>'Raw Data'!C72/'Raw Data'!I$30*100</f>
        <v>5.3977091299248343</v>
      </c>
      <c r="S72" s="128">
        <f t="shared" si="7"/>
        <v>0.69499999999999884</v>
      </c>
      <c r="T72" s="128">
        <f t="shared" si="8"/>
        <v>0.14454939301221414</v>
      </c>
      <c r="U72" s="5">
        <f t="shared" si="9"/>
        <v>2.8328762928636463E-2</v>
      </c>
      <c r="V72" s="5">
        <f t="shared" si="10"/>
        <v>0.96314080801338708</v>
      </c>
      <c r="W72" s="5">
        <f t="shared" si="11"/>
        <v>2.0102228889342832E-2</v>
      </c>
      <c r="X72" s="104">
        <f t="shared" si="12"/>
        <v>0.25185431370167377</v>
      </c>
      <c r="AS72" s="61"/>
      <c r="AT72" s="61"/>
    </row>
    <row r="73" spans="1:46" x14ac:dyDescent="0.2">
      <c r="A73" s="1">
        <v>207.46356201171875</v>
      </c>
      <c r="B73" s="42">
        <v>0.4034263959390863</v>
      </c>
      <c r="C73" s="42">
        <f t="shared" si="1"/>
        <v>0.59657360406091375</v>
      </c>
      <c r="D73" s="72">
        <f t="shared" si="2"/>
        <v>2.9631979695431521E-2</v>
      </c>
      <c r="E73" s="126">
        <f>(2*Table!$AC$16*0.147)/A73</f>
        <v>0.44178883451363099</v>
      </c>
      <c r="F73" s="126">
        <f t="shared" si="3"/>
        <v>0.88357766902726198</v>
      </c>
      <c r="G73" s="1">
        <f>IF((('Raw Data'!C73)/('Raw Data'!C$136)*100)&lt;0,0,('Raw Data'!C73)/('Raw Data'!C$136)*100)</f>
        <v>40.342639593908629</v>
      </c>
      <c r="H73" s="1">
        <f t="shared" si="4"/>
        <v>2.9631979695431525</v>
      </c>
      <c r="I73" s="83">
        <f t="shared" si="5"/>
        <v>3.6959962442239869E-2</v>
      </c>
      <c r="J73" s="126">
        <f>'Raw Data'!F73/I73</f>
        <v>0.80173186706397925</v>
      </c>
      <c r="K73" s="123">
        <f t="shared" si="6"/>
        <v>0.37227738336495281</v>
      </c>
      <c r="L73" s="1">
        <f>A73*Table!$AC$9/$AC$16</f>
        <v>46.583341162654534</v>
      </c>
      <c r="M73" s="1">
        <f>A73*Table!$AD$9/$AC$16</f>
        <v>15.97143125576727</v>
      </c>
      <c r="N73" s="1">
        <f>ABS(A73*Table!$AE$9/$AC$16)</f>
        <v>20.171178420008079</v>
      </c>
      <c r="O73" s="1">
        <f>($L73*(Table!$AC$10/Table!$AC$9)/(Table!$AC$12-Table!$AC$14))</f>
        <v>99.921366715260703</v>
      </c>
      <c r="P73" s="1">
        <f>ROUND(($N73*(Table!$AE$10/Table!$AE$9)/(Table!$AC$12-Table!$AC$13)),2)</f>
        <v>165.61</v>
      </c>
      <c r="Q73" s="1">
        <f>'Raw Data'!C73</f>
        <v>0.63580000000000003</v>
      </c>
      <c r="R73" s="1">
        <f>'Raw Data'!C73/'Raw Data'!I$30*100</f>
        <v>5.8256042519202342</v>
      </c>
      <c r="S73" s="128">
        <f t="shared" si="7"/>
        <v>0.3891666666666671</v>
      </c>
      <c r="T73" s="128">
        <f t="shared" si="8"/>
        <v>0.11230006543032889</v>
      </c>
      <c r="U73" s="5">
        <f t="shared" si="9"/>
        <v>2.8080132219031169E-2</v>
      </c>
      <c r="V73" s="5">
        <f t="shared" si="10"/>
        <v>0.9488899690468412</v>
      </c>
      <c r="W73" s="5">
        <f t="shared" si="11"/>
        <v>9.4945660206798132E-3</v>
      </c>
      <c r="X73" s="104">
        <f t="shared" si="12"/>
        <v>0.2613488797223536</v>
      </c>
      <c r="AS73" s="61"/>
      <c r="AT73" s="61"/>
    </row>
    <row r="74" spans="1:46" x14ac:dyDescent="0.2">
      <c r="A74" s="1">
        <v>227.41241455078125</v>
      </c>
      <c r="B74" s="42">
        <v>0.43077411167512686</v>
      </c>
      <c r="C74" s="42">
        <f t="shared" si="1"/>
        <v>0.56922588832487309</v>
      </c>
      <c r="D74" s="72">
        <f t="shared" si="2"/>
        <v>2.7347715736040557E-2</v>
      </c>
      <c r="E74" s="126">
        <f>(2*Table!$AC$16*0.147)/A74</f>
        <v>0.40303466038234703</v>
      </c>
      <c r="F74" s="126">
        <f t="shared" si="3"/>
        <v>0.80606932076469406</v>
      </c>
      <c r="G74" s="1">
        <f>IF((('Raw Data'!C74)/('Raw Data'!C$136)*100)&lt;0,0,('Raw Data'!C74)/('Raw Data'!C$136)*100)</f>
        <v>43.077411167512686</v>
      </c>
      <c r="H74" s="1">
        <f t="shared" si="4"/>
        <v>2.734771573604057</v>
      </c>
      <c r="I74" s="83">
        <f t="shared" si="5"/>
        <v>3.9872339167436599E-2</v>
      </c>
      <c r="J74" s="126">
        <f>'Raw Data'!F74/I74</f>
        <v>0.6858818997601025</v>
      </c>
      <c r="K74" s="123">
        <f t="shared" si="6"/>
        <v>0.40807406280283881</v>
      </c>
      <c r="L74" s="1">
        <f>A74*Table!$AC$9/$AC$16</f>
        <v>51.062605832650632</v>
      </c>
      <c r="M74" s="1">
        <f>A74*Table!$AD$9/$AC$16</f>
        <v>17.507179142623073</v>
      </c>
      <c r="N74" s="1">
        <f>ABS(A74*Table!$AE$9/$AC$16)</f>
        <v>22.11075691725345</v>
      </c>
      <c r="O74" s="1">
        <f>($L74*(Table!$AC$10/Table!$AC$9)/(Table!$AC$12-Table!$AC$14))</f>
        <v>109.52939904043467</v>
      </c>
      <c r="P74" s="1">
        <f>ROUND(($N74*(Table!$AE$10/Table!$AE$9)/(Table!$AC$12-Table!$AC$13)),2)</f>
        <v>181.53</v>
      </c>
      <c r="Q74" s="1">
        <f>'Raw Data'!C74</f>
        <v>0.67889999999999995</v>
      </c>
      <c r="R74" s="1">
        <f>'Raw Data'!C74/'Raw Data'!I$30*100</f>
        <v>6.2205138827125612</v>
      </c>
      <c r="S74" s="128">
        <f t="shared" si="7"/>
        <v>0.3591666666666658</v>
      </c>
      <c r="T74" s="128">
        <f t="shared" si="8"/>
        <v>8.7529474059226509E-2</v>
      </c>
      <c r="U74" s="5">
        <f t="shared" si="9"/>
        <v>2.7353448997057807E-2</v>
      </c>
      <c r="V74" s="5">
        <f t="shared" si="10"/>
        <v>0.90773764634153165</v>
      </c>
      <c r="W74" s="5">
        <f t="shared" si="11"/>
        <v>7.2927416718083634E-3</v>
      </c>
      <c r="X74" s="104">
        <f t="shared" si="12"/>
        <v>0.26864162139416198</v>
      </c>
      <c r="AS74" s="61"/>
      <c r="AT74" s="61"/>
    </row>
    <row r="75" spans="1:46" x14ac:dyDescent="0.2">
      <c r="A75" s="1">
        <v>249.58480834960937</v>
      </c>
      <c r="B75" s="42">
        <v>0.45558375634517762</v>
      </c>
      <c r="C75" s="42">
        <f t="shared" si="1"/>
        <v>0.54441624365482233</v>
      </c>
      <c r="D75" s="72">
        <f t="shared" si="2"/>
        <v>2.4809644670050757E-2</v>
      </c>
      <c r="E75" s="126">
        <f>(2*Table!$AC$16*0.147)/A75</f>
        <v>0.36723022475316891</v>
      </c>
      <c r="F75" s="126">
        <f t="shared" si="3"/>
        <v>0.73446044950633782</v>
      </c>
      <c r="G75" s="1">
        <f>IF((('Raw Data'!C75)/('Raw Data'!C$136)*100)&lt;0,0,('Raw Data'!C75)/('Raw Data'!C$136)*100)</f>
        <v>45.558375634517759</v>
      </c>
      <c r="H75" s="1">
        <f t="shared" si="4"/>
        <v>2.480964467005073</v>
      </c>
      <c r="I75" s="83">
        <f t="shared" si="5"/>
        <v>4.0403977974470706E-2</v>
      </c>
      <c r="J75" s="126">
        <f>'Raw Data'!F75/I75</f>
        <v>0.6140396543559834</v>
      </c>
      <c r="K75" s="123">
        <f t="shared" si="6"/>
        <v>0.44786071577613917</v>
      </c>
      <c r="L75" s="1">
        <f>A75*Table!$AC$9/$AC$16</f>
        <v>56.041138808312127</v>
      </c>
      <c r="M75" s="1">
        <f>A75*Table!$AD$9/$AC$16</f>
        <v>19.214104734278443</v>
      </c>
      <c r="N75" s="1">
        <f>ABS(A75*Table!$AE$9/$AC$16)</f>
        <v>24.266524932504144</v>
      </c>
      <c r="O75" s="1">
        <f>($L75*(Table!$AC$10/Table!$AC$9)/(Table!$AC$12-Table!$AC$14))</f>
        <v>120.20836295219247</v>
      </c>
      <c r="P75" s="1">
        <f>ROUND(($N75*(Table!$AE$10/Table!$AE$9)/(Table!$AC$12-Table!$AC$13)),2)</f>
        <v>199.23</v>
      </c>
      <c r="Q75" s="1">
        <f>'Raw Data'!C75</f>
        <v>0.71799999999999997</v>
      </c>
      <c r="R75" s="1">
        <f>'Raw Data'!C75/'Raw Data'!I$30*100</f>
        <v>6.5787729677236992</v>
      </c>
      <c r="S75" s="128">
        <f t="shared" si="7"/>
        <v>0.32583333333333314</v>
      </c>
      <c r="T75" s="128">
        <f t="shared" si="8"/>
        <v>6.8873071408853681E-2</v>
      </c>
      <c r="U75" s="5">
        <f t="shared" si="9"/>
        <v>2.635886779818903E-2</v>
      </c>
      <c r="V75" s="5">
        <f t="shared" si="10"/>
        <v>0.85262886885116063</v>
      </c>
      <c r="W75" s="5">
        <f t="shared" si="11"/>
        <v>5.4926555049119568E-3</v>
      </c>
      <c r="X75" s="104">
        <f t="shared" si="12"/>
        <v>0.27413427689907394</v>
      </c>
      <c r="AS75" s="61"/>
      <c r="AT75" s="61"/>
    </row>
    <row r="76" spans="1:46" x14ac:dyDescent="0.2">
      <c r="A76" s="1">
        <v>272.56744384765625</v>
      </c>
      <c r="B76" s="42">
        <v>0.47912436548223347</v>
      </c>
      <c r="C76" s="42">
        <f t="shared" si="1"/>
        <v>0.52087563451776653</v>
      </c>
      <c r="D76" s="72">
        <f t="shared" si="2"/>
        <v>2.3540609137055857E-2</v>
      </c>
      <c r="E76" s="126">
        <f>(2*Table!$AC$16*0.147)/A76</f>
        <v>0.33626571086909268</v>
      </c>
      <c r="F76" s="126">
        <f t="shared" si="3"/>
        <v>0.67253142173818536</v>
      </c>
      <c r="G76" s="1">
        <f>IF((('Raw Data'!C76)/('Raw Data'!C$136)*100)&lt;0,0,('Raw Data'!C76)/('Raw Data'!C$136)*100)</f>
        <v>47.912436548223347</v>
      </c>
      <c r="H76" s="1">
        <f t="shared" si="4"/>
        <v>2.3540609137055881</v>
      </c>
      <c r="I76" s="83">
        <f t="shared" si="5"/>
        <v>3.825583403952354E-2</v>
      </c>
      <c r="J76" s="126">
        <f>'Raw Data'!F76/I76</f>
        <v>0.61534690663743385</v>
      </c>
      <c r="K76" s="123">
        <f t="shared" si="6"/>
        <v>0.48910128507456896</v>
      </c>
      <c r="L76" s="1">
        <f>A76*Table!$AC$9/$AC$16</f>
        <v>61.201601396735143</v>
      </c>
      <c r="M76" s="1">
        <f>A76*Table!$AD$9/$AC$16</f>
        <v>20.983406193166335</v>
      </c>
      <c r="N76" s="1">
        <f>ABS(A76*Table!$AE$9/$AC$16)</f>
        <v>26.501070780930913</v>
      </c>
      <c r="O76" s="1">
        <f>($L76*(Table!$AC$10/Table!$AC$9)/(Table!$AC$12-Table!$AC$14))</f>
        <v>131.27756627356317</v>
      </c>
      <c r="P76" s="1">
        <f>ROUND(($N76*(Table!$AE$10/Table!$AE$9)/(Table!$AC$12-Table!$AC$13)),2)</f>
        <v>217.58</v>
      </c>
      <c r="Q76" s="1">
        <f>'Raw Data'!C76</f>
        <v>0.75509999999999999</v>
      </c>
      <c r="R76" s="1">
        <f>'Raw Data'!C76/'Raw Data'!I$30*100</f>
        <v>6.918706779844241</v>
      </c>
      <c r="S76" s="128">
        <f t="shared" si="7"/>
        <v>0.30916666666666676</v>
      </c>
      <c r="T76" s="128">
        <f t="shared" si="8"/>
        <v>5.4030354975062811E-2</v>
      </c>
      <c r="U76" s="5">
        <f t="shared" si="9"/>
        <v>2.5383467233567533E-2</v>
      </c>
      <c r="V76" s="5">
        <f t="shared" si="10"/>
        <v>0.79996049752315379</v>
      </c>
      <c r="W76" s="5">
        <f t="shared" si="11"/>
        <v>4.369863239753741E-3</v>
      </c>
      <c r="X76" s="104">
        <f t="shared" si="12"/>
        <v>0.27850414013882768</v>
      </c>
      <c r="AS76" s="61"/>
      <c r="AT76" s="61"/>
    </row>
    <row r="77" spans="1:46" x14ac:dyDescent="0.2">
      <c r="A77" s="1">
        <v>298.39706420898437</v>
      </c>
      <c r="B77" s="42">
        <v>0.50133248730964464</v>
      </c>
      <c r="C77" s="42">
        <f t="shared" si="1"/>
        <v>0.49866751269035536</v>
      </c>
      <c r="D77" s="72">
        <f t="shared" si="2"/>
        <v>2.2208121827411165E-2</v>
      </c>
      <c r="E77" s="126">
        <f>(2*Table!$AC$16*0.147)/A77</f>
        <v>0.30715813343596565</v>
      </c>
      <c r="F77" s="126">
        <f t="shared" si="3"/>
        <v>0.6143162668719313</v>
      </c>
      <c r="G77" s="1">
        <f>IF((('Raw Data'!C77)/('Raw Data'!C$136)*100)&lt;0,0,('Raw Data'!C77)/('Raw Data'!C$136)*100)</f>
        <v>50.133248730964461</v>
      </c>
      <c r="H77" s="1">
        <f t="shared" si="4"/>
        <v>2.2208121827411134</v>
      </c>
      <c r="I77" s="83">
        <f t="shared" si="5"/>
        <v>3.9320564645552281E-2</v>
      </c>
      <c r="J77" s="126">
        <f>'Raw Data'!F77/I77</f>
        <v>0.56479661539965254</v>
      </c>
      <c r="K77" s="123">
        <f t="shared" si="6"/>
        <v>0.53545054943783188</v>
      </c>
      <c r="L77" s="1">
        <f>A77*Table!$AC$9/$AC$16</f>
        <v>67.0013187337277</v>
      </c>
      <c r="M77" s="1">
        <f>A77*Table!$AD$9/$AC$16</f>
        <v>22.971880708706639</v>
      </c>
      <c r="N77" s="1">
        <f>ABS(A77*Table!$AE$9/$AC$16)</f>
        <v>29.012422055233205</v>
      </c>
      <c r="O77" s="1">
        <f>($L77*(Table!$AC$10/Table!$AC$9)/(Table!$AC$12-Table!$AC$14))</f>
        <v>143.71797240181834</v>
      </c>
      <c r="P77" s="1">
        <f>ROUND(($N77*(Table!$AE$10/Table!$AE$9)/(Table!$AC$12-Table!$AC$13)),2)</f>
        <v>238.2</v>
      </c>
      <c r="Q77" s="1">
        <f>'Raw Data'!C77</f>
        <v>0.79010000000000002</v>
      </c>
      <c r="R77" s="1">
        <f>'Raw Data'!C77/'Raw Data'!I$30*100</f>
        <v>7.2393990554296588</v>
      </c>
      <c r="S77" s="128">
        <f t="shared" si="7"/>
        <v>0.29166666666666652</v>
      </c>
      <c r="T77" s="128">
        <f t="shared" si="8"/>
        <v>4.234703164092124E-2</v>
      </c>
      <c r="U77" s="5">
        <f t="shared" si="9"/>
        <v>2.4260959385175109E-2</v>
      </c>
      <c r="V77" s="5">
        <f t="shared" si="10"/>
        <v>0.74105812674325522</v>
      </c>
      <c r="W77" s="5">
        <f t="shared" si="11"/>
        <v>3.43970225287013E-3</v>
      </c>
      <c r="X77" s="104">
        <f t="shared" si="12"/>
        <v>0.28194384239169779</v>
      </c>
      <c r="AS77" s="61"/>
      <c r="AT77" s="61"/>
    </row>
    <row r="78" spans="1:46" x14ac:dyDescent="0.2">
      <c r="A78" s="1">
        <v>326.55191040039062</v>
      </c>
      <c r="B78" s="42">
        <v>0.51954314720812178</v>
      </c>
      <c r="C78" s="42">
        <f t="shared" si="1"/>
        <v>0.48045685279187822</v>
      </c>
      <c r="D78" s="72">
        <f t="shared" si="2"/>
        <v>1.8210659898477144E-2</v>
      </c>
      <c r="E78" s="126">
        <f>(2*Table!$AC$16*0.147)/A78</f>
        <v>0.28067539140354086</v>
      </c>
      <c r="F78" s="126">
        <f t="shared" si="3"/>
        <v>0.56135078280708173</v>
      </c>
      <c r="G78" s="1">
        <f>IF((('Raw Data'!C78)/('Raw Data'!C$136)*100)&lt;0,0,('Raw Data'!C78)/('Raw Data'!C$136)*100)</f>
        <v>51.954314720812178</v>
      </c>
      <c r="H78" s="1">
        <f t="shared" si="4"/>
        <v>1.8210659898477175</v>
      </c>
      <c r="I78" s="83">
        <f t="shared" si="5"/>
        <v>3.9157682823649398E-2</v>
      </c>
      <c r="J78" s="126">
        <f>'Raw Data'!F78/I78</f>
        <v>0.46505969161890148</v>
      </c>
      <c r="K78" s="123">
        <f t="shared" si="6"/>
        <v>0.58597225246627671</v>
      </c>
      <c r="L78" s="1">
        <f>A78*Table!$AC$9/$AC$16</f>
        <v>73.323136371478753</v>
      </c>
      <c r="M78" s="1">
        <f>A78*Table!$AD$9/$AC$16</f>
        <v>25.139361041649856</v>
      </c>
      <c r="N78" s="1">
        <f>ABS(A78*Table!$AE$9/$AC$16)</f>
        <v>31.749849391425673</v>
      </c>
      <c r="O78" s="1">
        <f>($L78*(Table!$AC$10/Table!$AC$9)/(Table!$AC$12-Table!$AC$14))</f>
        <v>157.27828479510674</v>
      </c>
      <c r="P78" s="1">
        <f>ROUND(($N78*(Table!$AE$10/Table!$AE$9)/(Table!$AC$12-Table!$AC$13)),2)</f>
        <v>260.67</v>
      </c>
      <c r="Q78" s="1">
        <f>'Raw Data'!C78</f>
        <v>0.81879999999999997</v>
      </c>
      <c r="R78" s="1">
        <f>'Raw Data'!C78/'Raw Data'!I$30*100</f>
        <v>7.5023667214097003</v>
      </c>
      <c r="S78" s="128">
        <f t="shared" si="7"/>
        <v>0.23916666666666639</v>
      </c>
      <c r="T78" s="128">
        <f t="shared" si="8"/>
        <v>3.4347494067030415E-2</v>
      </c>
      <c r="U78" s="5">
        <f t="shared" si="9"/>
        <v>2.2974499558771302E-2</v>
      </c>
      <c r="V78" s="5">
        <f t="shared" si="10"/>
        <v>0.67583391728175368</v>
      </c>
      <c r="W78" s="5">
        <f t="shared" si="11"/>
        <v>2.3551541481713883E-3</v>
      </c>
      <c r="X78" s="104">
        <f t="shared" si="12"/>
        <v>0.28429899653986918</v>
      </c>
      <c r="AS78" s="61"/>
      <c r="AT78" s="61"/>
    </row>
    <row r="79" spans="1:46" x14ac:dyDescent="0.2">
      <c r="A79" s="1">
        <v>356.93722534179687</v>
      </c>
      <c r="B79" s="42">
        <v>0.53711928934010156</v>
      </c>
      <c r="C79" s="42">
        <f t="shared" si="1"/>
        <v>0.46288071065989844</v>
      </c>
      <c r="D79" s="72">
        <f t="shared" si="2"/>
        <v>1.7576142131979777E-2</v>
      </c>
      <c r="E79" s="126">
        <f>(2*Table!$AC$16*0.147)/A79</f>
        <v>0.25678208591843094</v>
      </c>
      <c r="F79" s="126">
        <f t="shared" si="3"/>
        <v>0.51356417183686187</v>
      </c>
      <c r="G79" s="1">
        <f>IF((('Raw Data'!C79)/('Raw Data'!C$136)*100)&lt;0,0,('Raw Data'!C79)/('Raw Data'!C$136)*100)</f>
        <v>53.711928934010153</v>
      </c>
      <c r="H79" s="1">
        <f t="shared" si="4"/>
        <v>1.7576142131979751</v>
      </c>
      <c r="I79" s="83">
        <f t="shared" si="5"/>
        <v>3.863961450314235E-2</v>
      </c>
      <c r="J79" s="126">
        <f>'Raw Data'!F79/I79</f>
        <v>0.4548736408990417</v>
      </c>
      <c r="K79" s="123">
        <f t="shared" si="6"/>
        <v>0.64049635987781239</v>
      </c>
      <c r="L79" s="1">
        <f>A79*Table!$AC$9/$AC$16</f>
        <v>80.145777795953464</v>
      </c>
      <c r="M79" s="1">
        <f>A79*Table!$AD$9/$AC$16</f>
        <v>27.478552387184045</v>
      </c>
      <c r="N79" s="1">
        <f>ABS(A79*Table!$AE$9/$AC$16)</f>
        <v>34.70413978867925</v>
      </c>
      <c r="O79" s="1">
        <f>($L79*(Table!$AC$10/Table!$AC$9)/(Table!$AC$12-Table!$AC$14))</f>
        <v>171.91286528518549</v>
      </c>
      <c r="P79" s="1">
        <f>ROUND(($N79*(Table!$AE$10/Table!$AE$9)/(Table!$AC$12-Table!$AC$13)),2)</f>
        <v>284.93</v>
      </c>
      <c r="Q79" s="1">
        <f>'Raw Data'!C79</f>
        <v>0.84650000000000003</v>
      </c>
      <c r="R79" s="1">
        <f>'Raw Data'!C79/'Raw Data'!I$30*100</f>
        <v>7.7561717509444446</v>
      </c>
      <c r="S79" s="128">
        <f t="shared" si="7"/>
        <v>0.23083333333333431</v>
      </c>
      <c r="T79" s="128">
        <f t="shared" si="8"/>
        <v>2.7885247478460662E-2</v>
      </c>
      <c r="U79" s="5">
        <f t="shared" si="9"/>
        <v>2.1729792244328871E-2</v>
      </c>
      <c r="V79" s="5">
        <f t="shared" si="10"/>
        <v>0.61508320901807811</v>
      </c>
      <c r="W79" s="5">
        <f t="shared" si="11"/>
        <v>1.9025583315279105E-3</v>
      </c>
      <c r="X79" s="104">
        <f t="shared" si="12"/>
        <v>0.28620155487139709</v>
      </c>
      <c r="AS79" s="61"/>
      <c r="AT79" s="61"/>
    </row>
    <row r="80" spans="1:46" x14ac:dyDescent="0.2">
      <c r="A80" s="1">
        <v>391.13479614257812</v>
      </c>
      <c r="B80" s="42">
        <v>0.55368020304568533</v>
      </c>
      <c r="C80" s="42">
        <f t="shared" si="1"/>
        <v>0.44631979695431467</v>
      </c>
      <c r="D80" s="72">
        <f t="shared" si="2"/>
        <v>1.6560913705583769E-2</v>
      </c>
      <c r="E80" s="126">
        <f>(2*Table!$AC$16*0.147)/A80</f>
        <v>0.23433119775872135</v>
      </c>
      <c r="F80" s="126">
        <f t="shared" si="3"/>
        <v>0.46866239551744271</v>
      </c>
      <c r="G80" s="1">
        <f>IF((('Raw Data'!C80)/('Raw Data'!C$136)*100)&lt;0,0,('Raw Data'!C80)/('Raw Data'!C$136)*100)</f>
        <v>55.368020304568532</v>
      </c>
      <c r="H80" s="1">
        <f t="shared" si="4"/>
        <v>1.6560913705583786</v>
      </c>
      <c r="I80" s="83">
        <f t="shared" si="5"/>
        <v>3.9734610060861653E-2</v>
      </c>
      <c r="J80" s="126">
        <f>'Raw Data'!F80/I80</f>
        <v>0.41678812703125445</v>
      </c>
      <c r="K80" s="123">
        <f t="shared" si="6"/>
        <v>0.70186126681232963</v>
      </c>
      <c r="L80" s="1">
        <f>A80*Table!$AC$9/$AC$16</f>
        <v>87.824413466234887</v>
      </c>
      <c r="M80" s="1">
        <f>A80*Table!$AD$9/$AC$16</f>
        <v>30.111227474137678</v>
      </c>
      <c r="N80" s="1">
        <f>ABS(A80*Table!$AE$9/$AC$16)</f>
        <v>38.029086567113787</v>
      </c>
      <c r="O80" s="1">
        <f>($L80*(Table!$AC$10/Table!$AC$9)/(Table!$AC$12-Table!$AC$14))</f>
        <v>188.38355526862912</v>
      </c>
      <c r="P80" s="1">
        <f>ROUND(($N80*(Table!$AE$10/Table!$AE$9)/(Table!$AC$12-Table!$AC$13)),2)</f>
        <v>312.23</v>
      </c>
      <c r="Q80" s="1">
        <f>'Raw Data'!C80</f>
        <v>0.87260000000000004</v>
      </c>
      <c r="R80" s="1">
        <f>'Raw Data'!C80/'Raw Data'!I$30*100</f>
        <v>7.995316562166713</v>
      </c>
      <c r="S80" s="128">
        <f t="shared" si="7"/>
        <v>0.21750000000000005</v>
      </c>
      <c r="T80" s="128">
        <f t="shared" si="8"/>
        <v>2.2814464263216649E-2</v>
      </c>
      <c r="U80" s="5">
        <f t="shared" si="9"/>
        <v>2.0441332862781724E-2</v>
      </c>
      <c r="V80" s="5">
        <f t="shared" si="10"/>
        <v>0.55468186898327598</v>
      </c>
      <c r="W80" s="5">
        <f t="shared" si="11"/>
        <v>1.4928958097325683E-3</v>
      </c>
      <c r="X80" s="104">
        <f t="shared" si="12"/>
        <v>0.28769445068112964</v>
      </c>
      <c r="AS80" s="61"/>
      <c r="AT80" s="61"/>
    </row>
    <row r="81" spans="1:46" x14ac:dyDescent="0.2">
      <c r="A81" s="1">
        <v>428.96145629882813</v>
      </c>
      <c r="B81" s="42">
        <v>0.57157360406091373</v>
      </c>
      <c r="C81" s="42">
        <f t="shared" si="1"/>
        <v>0.42842639593908627</v>
      </c>
      <c r="D81" s="72">
        <f t="shared" si="2"/>
        <v>1.7893401015228405E-2</v>
      </c>
      <c r="E81" s="126">
        <f>(2*Table!$AC$16*0.147)/A81</f>
        <v>0.21366741444796339</v>
      </c>
      <c r="F81" s="126">
        <f t="shared" si="3"/>
        <v>0.42733482889592678</v>
      </c>
      <c r="G81" s="1">
        <f>IF((('Raw Data'!C81)/('Raw Data'!C$136)*100)&lt;0,0,('Raw Data'!C81)/('Raw Data'!C$136)*100)</f>
        <v>57.157360406091371</v>
      </c>
      <c r="H81" s="1">
        <f t="shared" si="4"/>
        <v>1.7893401015228392</v>
      </c>
      <c r="I81" s="83">
        <f t="shared" si="5"/>
        <v>4.0091817659135387E-2</v>
      </c>
      <c r="J81" s="126">
        <f>'Raw Data'!F81/I81</f>
        <v>0.44631054564200295</v>
      </c>
      <c r="K81" s="123">
        <f t="shared" si="6"/>
        <v>0.76973829508589509</v>
      </c>
      <c r="L81" s="1">
        <f>A81*Table!$AC$9/$AC$16</f>
        <v>96.317915640861841</v>
      </c>
      <c r="M81" s="1">
        <f>A81*Table!$AD$9/$AC$16</f>
        <v>33.023285362581198</v>
      </c>
      <c r="N81" s="1">
        <f>ABS(A81*Table!$AE$9/$AC$16)</f>
        <v>41.706880892276438</v>
      </c>
      <c r="O81" s="1">
        <f>($L81*(Table!$AC$10/Table!$AC$9)/(Table!$AC$12-Table!$AC$14))</f>
        <v>206.60213565178432</v>
      </c>
      <c r="P81" s="1">
        <f>ROUND(($N81*(Table!$AE$10/Table!$AE$9)/(Table!$AC$12-Table!$AC$13)),2)</f>
        <v>342.42</v>
      </c>
      <c r="Q81" s="1">
        <f>'Raw Data'!C81</f>
        <v>0.90080000000000005</v>
      </c>
      <c r="R81" s="1">
        <f>'Raw Data'!C81/'Raw Data'!I$30*100</f>
        <v>8.2537029099241064</v>
      </c>
      <c r="S81" s="128">
        <f t="shared" si="7"/>
        <v>0.23499999999999963</v>
      </c>
      <c r="T81" s="128">
        <f t="shared" si="8"/>
        <v>1.8259342299117187E-2</v>
      </c>
      <c r="U81" s="5">
        <f t="shared" si="9"/>
        <v>1.9241129450507825E-2</v>
      </c>
      <c r="V81" s="5">
        <f t="shared" si="10"/>
        <v>0.50073364714620716</v>
      </c>
      <c r="W81" s="5">
        <f t="shared" si="11"/>
        <v>1.341079317408282E-3</v>
      </c>
      <c r="X81" s="104">
        <f t="shared" si="12"/>
        <v>0.28903552999853793</v>
      </c>
      <c r="AS81" s="61"/>
      <c r="AT81" s="61"/>
    </row>
    <row r="82" spans="1:46" x14ac:dyDescent="0.2">
      <c r="A82" s="1">
        <v>468.58456420898437</v>
      </c>
      <c r="B82" s="42">
        <v>0.58654822335025381</v>
      </c>
      <c r="C82" s="42">
        <f t="shared" si="1"/>
        <v>0.41345177664974619</v>
      </c>
      <c r="D82" s="72">
        <f t="shared" si="2"/>
        <v>1.4974619289340074E-2</v>
      </c>
      <c r="E82" s="126">
        <f>(2*Table!$AC$16*0.147)/A82</f>
        <v>0.1955998815708456</v>
      </c>
      <c r="F82" s="126">
        <f t="shared" si="3"/>
        <v>0.39119976314169119</v>
      </c>
      <c r="G82" s="1">
        <f>IF((('Raw Data'!C82)/('Raw Data'!C$136)*100)&lt;0,0,('Raw Data'!C82)/('Raw Data'!C$136)*100)</f>
        <v>58.654822335025379</v>
      </c>
      <c r="H82" s="1">
        <f t="shared" si="4"/>
        <v>1.4974619289340083</v>
      </c>
      <c r="I82" s="83">
        <f t="shared" si="5"/>
        <v>3.8369707220463845E-2</v>
      </c>
      <c r="J82" s="126">
        <f>'Raw Data'!F82/I82</f>
        <v>0.39027191954578194</v>
      </c>
      <c r="K82" s="123">
        <f t="shared" si="6"/>
        <v>0.84083891049298498</v>
      </c>
      <c r="L82" s="1">
        <f>A82*Table!$AC$9/$AC$16</f>
        <v>105.21478763035955</v>
      </c>
      <c r="M82" s="1">
        <f>A82*Table!$AD$9/$AC$16</f>
        <v>36.073641473266136</v>
      </c>
      <c r="N82" s="1">
        <f>ABS(A82*Table!$AE$9/$AC$16)</f>
        <v>45.559339470838054</v>
      </c>
      <c r="O82" s="1">
        <f>($L82*(Table!$AC$10/Table!$AC$9)/(Table!$AC$12-Table!$AC$14))</f>
        <v>225.68594515306643</v>
      </c>
      <c r="P82" s="1">
        <f>ROUND(($N82*(Table!$AE$10/Table!$AE$9)/(Table!$AC$12-Table!$AC$13)),2)</f>
        <v>374.05</v>
      </c>
      <c r="Q82" s="1">
        <f>'Raw Data'!C82</f>
        <v>0.9244</v>
      </c>
      <c r="R82" s="1">
        <f>'Raw Data'!C82/'Raw Data'!I$30*100</f>
        <v>8.4699411300331295</v>
      </c>
      <c r="S82" s="128">
        <f t="shared" si="7"/>
        <v>0.19666666666666621</v>
      </c>
      <c r="T82" s="128">
        <f t="shared" si="8"/>
        <v>1.5064690788323065E-2</v>
      </c>
      <c r="U82" s="5">
        <f t="shared" si="9"/>
        <v>1.8075587155396811E-2</v>
      </c>
      <c r="V82" s="5">
        <f t="shared" si="10"/>
        <v>0.45052216967047171</v>
      </c>
      <c r="W82" s="5">
        <f t="shared" si="11"/>
        <v>9.4054146106716473E-4</v>
      </c>
      <c r="X82" s="104">
        <f t="shared" si="12"/>
        <v>0.28997607145960508</v>
      </c>
      <c r="AS82" s="61"/>
      <c r="AT82" s="61"/>
    </row>
    <row r="83" spans="1:46" x14ac:dyDescent="0.2">
      <c r="A83" s="1">
        <v>512.81219482421875</v>
      </c>
      <c r="B83" s="42">
        <v>0.60279187817258872</v>
      </c>
      <c r="C83" s="42">
        <f t="shared" si="1"/>
        <v>0.39720812182741128</v>
      </c>
      <c r="D83" s="72">
        <f t="shared" si="2"/>
        <v>1.6243654822334919E-2</v>
      </c>
      <c r="E83" s="126">
        <f>(2*Table!$AC$16*0.147)/A83</f>
        <v>0.17873031528944253</v>
      </c>
      <c r="F83" s="126">
        <f t="shared" si="3"/>
        <v>0.35746063057888505</v>
      </c>
      <c r="G83" s="1">
        <f>IF((('Raw Data'!C83)/('Raw Data'!C$136)*100)&lt;0,0,('Raw Data'!C83)/('Raw Data'!C$136)*100)</f>
        <v>60.279187817258872</v>
      </c>
      <c r="H83" s="1">
        <f t="shared" si="4"/>
        <v>1.6243654822334932</v>
      </c>
      <c r="I83" s="83">
        <f t="shared" si="5"/>
        <v>3.9170366017658109E-2</v>
      </c>
      <c r="J83" s="126">
        <f>'Raw Data'!F83/I83</f>
        <v>0.41469244415567202</v>
      </c>
      <c r="K83" s="123">
        <f t="shared" si="6"/>
        <v>0.92020198725795954</v>
      </c>
      <c r="L83" s="1">
        <f>A83*Table!$AC$9/$AC$16</f>
        <v>115.14554745048137</v>
      </c>
      <c r="M83" s="1">
        <f>A83*Table!$AD$9/$AC$16</f>
        <v>39.478473411593612</v>
      </c>
      <c r="N83" s="1">
        <f>ABS(A83*Table!$AE$9/$AC$16)</f>
        <v>49.859484612391689</v>
      </c>
      <c r="O83" s="1">
        <f>($L83*(Table!$AC$10/Table!$AC$9)/(Table!$AC$12-Table!$AC$14))</f>
        <v>246.98744626872886</v>
      </c>
      <c r="P83" s="1">
        <f>ROUND(($N83*(Table!$AE$10/Table!$AE$9)/(Table!$AC$12-Table!$AC$13)),2)</f>
        <v>409.36</v>
      </c>
      <c r="Q83" s="1">
        <f>'Raw Data'!C83</f>
        <v>0.95</v>
      </c>
      <c r="R83" s="1">
        <f>'Raw Data'!C83/'Raw Data'!I$30*100</f>
        <v>8.704504623032749</v>
      </c>
      <c r="S83" s="128">
        <f t="shared" si="7"/>
        <v>0.21333333333333185</v>
      </c>
      <c r="T83" s="128">
        <f t="shared" si="8"/>
        <v>1.2171275843704144E-2</v>
      </c>
      <c r="U83" s="5">
        <f t="shared" si="9"/>
        <v>1.6974059335731029E-2</v>
      </c>
      <c r="V83" s="5">
        <f t="shared" si="10"/>
        <v>0.40507975760681025</v>
      </c>
      <c r="W83" s="5">
        <f t="shared" si="11"/>
        <v>8.5185401609235486E-4</v>
      </c>
      <c r="X83" s="104">
        <f t="shared" si="12"/>
        <v>0.29082792547569741</v>
      </c>
      <c r="AS83" s="61"/>
      <c r="AT83" s="61"/>
    </row>
    <row r="84" spans="1:46" x14ac:dyDescent="0.2">
      <c r="A84" s="1">
        <v>561.6986083984375</v>
      </c>
      <c r="B84" s="42">
        <v>0.6188451776649746</v>
      </c>
      <c r="C84" s="42">
        <f t="shared" si="1"/>
        <v>0.3811548223350254</v>
      </c>
      <c r="D84" s="72">
        <f t="shared" si="2"/>
        <v>1.6053299492385875E-2</v>
      </c>
      <c r="E84" s="126">
        <f>(2*Table!$AC$16*0.147)/A84</f>
        <v>0.16317484838806767</v>
      </c>
      <c r="F84" s="126">
        <f t="shared" si="3"/>
        <v>0.32634969677613535</v>
      </c>
      <c r="G84" s="1">
        <f>IF((('Raw Data'!C84)/('Raw Data'!C$136)*100)&lt;0,0,('Raw Data'!C84)/('Raw Data'!C$136)*100)</f>
        <v>61.88451776649746</v>
      </c>
      <c r="H84" s="1">
        <f t="shared" si="4"/>
        <v>1.6053299492385875</v>
      </c>
      <c r="I84" s="83">
        <f t="shared" si="5"/>
        <v>3.9545003634542941E-2</v>
      </c>
      <c r="J84" s="126">
        <f>'Raw Data'!F84/I84</f>
        <v>0.4059501331885873</v>
      </c>
      <c r="K84" s="123">
        <f t="shared" si="6"/>
        <v>1.0079248912273759</v>
      </c>
      <c r="L84" s="1">
        <f>A84*Table!$AC$9/$AC$16</f>
        <v>126.12237856079376</v>
      </c>
      <c r="M84" s="1">
        <f>A84*Table!$AD$9/$AC$16</f>
        <v>43.241958363700718</v>
      </c>
      <c r="N84" s="1">
        <f>ABS(A84*Table!$AE$9/$AC$16)</f>
        <v>54.612591909682621</v>
      </c>
      <c r="O84" s="1">
        <f>($L84*(Table!$AC$10/Table!$AC$9)/(Table!$AC$12-Table!$AC$14))</f>
        <v>270.53277254567519</v>
      </c>
      <c r="P84" s="1">
        <f>ROUND(($N84*(Table!$AE$10/Table!$AE$9)/(Table!$AC$12-Table!$AC$13)),2)</f>
        <v>448.38</v>
      </c>
      <c r="Q84" s="1">
        <f>'Raw Data'!C84</f>
        <v>0.97530000000000006</v>
      </c>
      <c r="R84" s="1">
        <f>'Raw Data'!C84/'Raw Data'!I$30*100</f>
        <v>8.9363193250987791</v>
      </c>
      <c r="S84" s="128">
        <f t="shared" si="7"/>
        <v>0.2108333333333344</v>
      </c>
      <c r="T84" s="128">
        <f t="shared" si="8"/>
        <v>9.7878520593920326E-3</v>
      </c>
      <c r="U84" s="5">
        <f t="shared" si="9"/>
        <v>1.5909456052559518E-2</v>
      </c>
      <c r="V84" s="5">
        <f t="shared" si="10"/>
        <v>0.36305469792102563</v>
      </c>
      <c r="W84" s="5">
        <f t="shared" si="11"/>
        <v>7.0170686250590184E-4</v>
      </c>
      <c r="X84" s="104">
        <f t="shared" si="12"/>
        <v>0.29152963233820334</v>
      </c>
      <c r="AS84" s="61"/>
      <c r="AT84" s="61"/>
    </row>
    <row r="85" spans="1:46" x14ac:dyDescent="0.2">
      <c r="A85" s="1">
        <v>613.18511962890625</v>
      </c>
      <c r="B85" s="42">
        <v>0.63324873096446699</v>
      </c>
      <c r="C85" s="42">
        <f t="shared" si="1"/>
        <v>0.36675126903553301</v>
      </c>
      <c r="D85" s="72">
        <f t="shared" si="2"/>
        <v>1.4403553299492389E-2</v>
      </c>
      <c r="E85" s="126">
        <f>(2*Table!$AC$16*0.147)/A85</f>
        <v>0.14947375976878308</v>
      </c>
      <c r="F85" s="126">
        <f t="shared" si="3"/>
        <v>0.29894751953756615</v>
      </c>
      <c r="G85" s="1">
        <f>IF((('Raw Data'!C85)/('Raw Data'!C$136)*100)&lt;0,0,('Raw Data'!C85)/('Raw Data'!C$136)*100)</f>
        <v>63.324873096446701</v>
      </c>
      <c r="H85" s="1">
        <f t="shared" si="4"/>
        <v>1.4403553299492415</v>
      </c>
      <c r="I85" s="83">
        <f t="shared" si="5"/>
        <v>3.8088259220741327E-2</v>
      </c>
      <c r="J85" s="126">
        <f>'Raw Data'!F85/I85</f>
        <v>0.37816255177261543</v>
      </c>
      <c r="K85" s="123">
        <f t="shared" si="6"/>
        <v>1.1003134701836483</v>
      </c>
      <c r="L85" s="1">
        <f>A85*Table!$AC$9/$AC$16</f>
        <v>137.68302899341427</v>
      </c>
      <c r="M85" s="1">
        <f>A85*Table!$AD$9/$AC$16</f>
        <v>47.205609940599182</v>
      </c>
      <c r="N85" s="1">
        <f>ABS(A85*Table!$AE$9/$AC$16)</f>
        <v>59.618500389143094</v>
      </c>
      <c r="O85" s="1">
        <f>($L85*(Table!$AC$10/Table!$AC$9)/(Table!$AC$12-Table!$AC$14))</f>
        <v>295.33039252126616</v>
      </c>
      <c r="P85" s="1">
        <f>ROUND(($N85*(Table!$AE$10/Table!$AE$9)/(Table!$AC$12-Table!$AC$13)),2)</f>
        <v>489.48</v>
      </c>
      <c r="Q85" s="1">
        <f>'Raw Data'!C85</f>
        <v>0.998</v>
      </c>
      <c r="R85" s="1">
        <f>'Raw Data'!C85/'Raw Data'!I$30*100</f>
        <v>9.1443111724070345</v>
      </c>
      <c r="S85" s="128">
        <f t="shared" si="7"/>
        <v>0.18916666666666662</v>
      </c>
      <c r="T85" s="128">
        <f t="shared" si="8"/>
        <v>7.9934073289145147E-3</v>
      </c>
      <c r="U85" s="5">
        <f t="shared" si="9"/>
        <v>1.4912806719675591E-2</v>
      </c>
      <c r="V85" s="5">
        <f t="shared" si="10"/>
        <v>0.32543317456852455</v>
      </c>
      <c r="W85" s="5">
        <f t="shared" si="11"/>
        <v>5.2830478157160437E-4</v>
      </c>
      <c r="X85" s="104">
        <f t="shared" si="12"/>
        <v>0.29205793711977496</v>
      </c>
      <c r="AS85" s="61"/>
      <c r="AT85" s="61"/>
    </row>
    <row r="86" spans="1:46" x14ac:dyDescent="0.2">
      <c r="A86" s="1">
        <v>671.98736572265625</v>
      </c>
      <c r="B86" s="42">
        <v>0.64733502538071064</v>
      </c>
      <c r="C86" s="42">
        <f t="shared" si="1"/>
        <v>0.35266497461928936</v>
      </c>
      <c r="D86" s="72">
        <f t="shared" si="2"/>
        <v>1.408629441624365E-2</v>
      </c>
      <c r="E86" s="126">
        <f>(2*Table!$AC$16*0.147)/A86</f>
        <v>0.13639406027617443</v>
      </c>
      <c r="F86" s="126">
        <f t="shared" si="3"/>
        <v>0.27278812055234886</v>
      </c>
      <c r="G86" s="1">
        <f>IF((('Raw Data'!C86)/('Raw Data'!C$136)*100)&lt;0,0,('Raw Data'!C86)/('Raw Data'!C$136)*100)</f>
        <v>64.733502538071065</v>
      </c>
      <c r="H86" s="1">
        <f t="shared" si="4"/>
        <v>1.4086294416243632</v>
      </c>
      <c r="I86" s="83">
        <f t="shared" si="5"/>
        <v>3.9769500664211144E-2</v>
      </c>
      <c r="J86" s="126">
        <f>'Raw Data'!F86/I86</f>
        <v>0.35419842293670051</v>
      </c>
      <c r="K86" s="123">
        <f t="shared" si="6"/>
        <v>1.2058295719004728</v>
      </c>
      <c r="L86" s="1">
        <f>A86*Table!$AC$9/$AC$16</f>
        <v>150.8863359469544</v>
      </c>
      <c r="M86" s="1">
        <f>A86*Table!$AD$9/$AC$16</f>
        <v>51.732458038955791</v>
      </c>
      <c r="N86" s="1">
        <f>ABS(A86*Table!$AE$9/$AC$16)</f>
        <v>65.335700007007816</v>
      </c>
      <c r="O86" s="1">
        <f>($L86*(Table!$AC$10/Table!$AC$9)/(Table!$AC$12-Table!$AC$14))</f>
        <v>323.65151425773149</v>
      </c>
      <c r="P86" s="1">
        <f>ROUND(($N86*(Table!$AE$10/Table!$AE$9)/(Table!$AC$12-Table!$AC$13)),2)</f>
        <v>536.41999999999996</v>
      </c>
      <c r="Q86" s="1">
        <f>'Raw Data'!C86</f>
        <v>1.0202</v>
      </c>
      <c r="R86" s="1">
        <f>'Raw Data'!C86/'Raw Data'!I$30*100</f>
        <v>9.3477217014926435</v>
      </c>
      <c r="S86" s="128">
        <f t="shared" si="7"/>
        <v>0.18499999999999986</v>
      </c>
      <c r="T86" s="128">
        <f t="shared" si="8"/>
        <v>6.5321785993752712E-3</v>
      </c>
      <c r="U86" s="5">
        <f t="shared" si="9"/>
        <v>1.3910561683611549E-2</v>
      </c>
      <c r="V86" s="5">
        <f t="shared" si="10"/>
        <v>0.28931351817747175</v>
      </c>
      <c r="W86" s="5">
        <f t="shared" si="11"/>
        <v>4.3020223006810348E-4</v>
      </c>
      <c r="X86" s="104">
        <f t="shared" si="12"/>
        <v>0.29248813934984308</v>
      </c>
      <c r="AS86" s="61"/>
      <c r="AT86" s="61"/>
    </row>
    <row r="87" spans="1:46" x14ac:dyDescent="0.2">
      <c r="A87" s="1">
        <v>735.31646728515625</v>
      </c>
      <c r="B87" s="42">
        <v>0.66078680203045692</v>
      </c>
      <c r="C87" s="42">
        <f t="shared" si="1"/>
        <v>0.33921319796954308</v>
      </c>
      <c r="D87" s="72">
        <f t="shared" si="2"/>
        <v>1.3451776649746283E-2</v>
      </c>
      <c r="E87" s="126">
        <f>(2*Table!$AC$16*0.147)/A87</f>
        <v>0.12464712724794688</v>
      </c>
      <c r="F87" s="126">
        <f t="shared" si="3"/>
        <v>0.24929425449589376</v>
      </c>
      <c r="G87" s="1">
        <f>IF((('Raw Data'!C87)/('Raw Data'!C$136)*100)&lt;0,0,('Raw Data'!C87)/('Raw Data'!C$136)*100)</f>
        <v>66.078680203045693</v>
      </c>
      <c r="H87" s="1">
        <f t="shared" si="4"/>
        <v>1.3451776649746279</v>
      </c>
      <c r="I87" s="83">
        <f t="shared" si="5"/>
        <v>3.9113184227424935E-2</v>
      </c>
      <c r="J87" s="126">
        <f>'Raw Data'!F87/I87</f>
        <v>0.34391924143865332</v>
      </c>
      <c r="K87" s="123">
        <f t="shared" si="6"/>
        <v>1.3194687671014553</v>
      </c>
      <c r="L87" s="1">
        <f>A87*Table!$AC$9/$AC$16</f>
        <v>165.10609152718345</v>
      </c>
      <c r="M87" s="1">
        <f>A87*Table!$AD$9/$AC$16</f>
        <v>56.607802809320042</v>
      </c>
      <c r="N87" s="1">
        <f>ABS(A87*Table!$AE$9/$AC$16)</f>
        <v>71.493034791049766</v>
      </c>
      <c r="O87" s="1">
        <f>($L87*(Table!$AC$10/Table!$AC$9)/(Table!$AC$12-Table!$AC$14))</f>
        <v>354.15292047872902</v>
      </c>
      <c r="P87" s="1">
        <f>ROUND(($N87*(Table!$AE$10/Table!$AE$9)/(Table!$AC$12-Table!$AC$13)),2)</f>
        <v>586.97</v>
      </c>
      <c r="Q87" s="1">
        <f>'Raw Data'!C87</f>
        <v>1.0414000000000001</v>
      </c>
      <c r="R87" s="1">
        <f>'Raw Data'!C87/'Raw Data'!I$30*100</f>
        <v>9.5419695941329543</v>
      </c>
      <c r="S87" s="128">
        <f t="shared" si="7"/>
        <v>0.17666666666666778</v>
      </c>
      <c r="T87" s="128">
        <f t="shared" si="8"/>
        <v>5.3667793865540547E-3</v>
      </c>
      <c r="U87" s="5">
        <f t="shared" si="9"/>
        <v>1.2976684215114376E-2</v>
      </c>
      <c r="V87" s="5">
        <f t="shared" si="10"/>
        <v>0.25723660773756063</v>
      </c>
      <c r="W87" s="5">
        <f t="shared" si="11"/>
        <v>3.4310668147991496E-4</v>
      </c>
      <c r="X87" s="104">
        <f t="shared" si="12"/>
        <v>0.29283124603132299</v>
      </c>
      <c r="AS87" s="61"/>
      <c r="AT87" s="61"/>
    </row>
    <row r="88" spans="1:46" x14ac:dyDescent="0.2">
      <c r="A88" s="1">
        <v>805.49017333984375</v>
      </c>
      <c r="B88" s="42">
        <v>0.67442893401015225</v>
      </c>
      <c r="C88" s="42">
        <f t="shared" si="1"/>
        <v>0.32557106598984775</v>
      </c>
      <c r="D88" s="72">
        <f t="shared" si="2"/>
        <v>1.3642131979695327E-2</v>
      </c>
      <c r="E88" s="126">
        <f>(2*Table!$AC$16*0.147)/A88</f>
        <v>0.1137879620370409</v>
      </c>
      <c r="F88" s="126">
        <f t="shared" si="3"/>
        <v>0.22757592407408181</v>
      </c>
      <c r="G88" s="1">
        <f>IF((('Raw Data'!C88)/('Raw Data'!C$136)*100)&lt;0,0,('Raw Data'!C88)/('Raw Data'!C$136)*100)</f>
        <v>67.442893401015226</v>
      </c>
      <c r="H88" s="1">
        <f t="shared" si="4"/>
        <v>1.3642131979695336</v>
      </c>
      <c r="I88" s="83">
        <f t="shared" si="5"/>
        <v>3.9585954536902168E-2</v>
      </c>
      <c r="J88" s="126">
        <f>'Raw Data'!F88/I88</f>
        <v>0.34462051349495898</v>
      </c>
      <c r="K88" s="123">
        <f t="shared" si="6"/>
        <v>1.4453900778981184</v>
      </c>
      <c r="L88" s="1">
        <f>A88*Table!$AC$9/$AC$16</f>
        <v>180.86271721169135</v>
      </c>
      <c r="M88" s="1">
        <f>A88*Table!$AD$9/$AC$16</f>
        <v>62.010074472579888</v>
      </c>
      <c r="N88" s="1">
        <f>ABS(A88*Table!$AE$9/$AC$16)</f>
        <v>78.315853851402878</v>
      </c>
      <c r="O88" s="1">
        <f>($L88*(Table!$AC$10/Table!$AC$9)/(Table!$AC$12-Table!$AC$14))</f>
        <v>387.95091636999433</v>
      </c>
      <c r="P88" s="1">
        <f>ROUND(($N88*(Table!$AE$10/Table!$AE$9)/(Table!$AC$12-Table!$AC$13)),2)</f>
        <v>642.99</v>
      </c>
      <c r="Q88" s="1">
        <f>'Raw Data'!C88</f>
        <v>1.0629</v>
      </c>
      <c r="R88" s="1">
        <f>'Raw Data'!C88/'Raw Data'!I$30*100</f>
        <v>9.7389662777068509</v>
      </c>
      <c r="S88" s="128">
        <f t="shared" si="7"/>
        <v>0.1791666666666652</v>
      </c>
      <c r="T88" s="128">
        <f t="shared" si="8"/>
        <v>4.38184928566554E-3</v>
      </c>
      <c r="U88" s="5">
        <f t="shared" si="9"/>
        <v>1.2090732575079957E-2</v>
      </c>
      <c r="V88" s="5">
        <f t="shared" si="10"/>
        <v>0.22824447230371778</v>
      </c>
      <c r="W88" s="5">
        <f t="shared" si="11"/>
        <v>2.899745380704933E-4</v>
      </c>
      <c r="X88" s="104">
        <f t="shared" si="12"/>
        <v>0.29312122056939349</v>
      </c>
      <c r="AS88" s="61"/>
      <c r="AT88" s="61"/>
    </row>
    <row r="89" spans="1:46" x14ac:dyDescent="0.2">
      <c r="A89" s="1">
        <v>882.44622802734375</v>
      </c>
      <c r="B89" s="42">
        <v>0.68870558375634505</v>
      </c>
      <c r="C89" s="42">
        <f t="shared" si="1"/>
        <v>0.31129441624365495</v>
      </c>
      <c r="D89" s="72">
        <f t="shared" si="2"/>
        <v>1.4276649746192804E-2</v>
      </c>
      <c r="E89" s="126">
        <f>(2*Table!$AC$16*0.147)/A89</f>
        <v>0.10386478218632443</v>
      </c>
      <c r="F89" s="126">
        <f t="shared" si="3"/>
        <v>0.20772956437264886</v>
      </c>
      <c r="G89" s="1">
        <f>IF((('Raw Data'!C89)/('Raw Data'!C$136)*100)&lt;0,0,('Raw Data'!C89)/('Raw Data'!C$136)*100)</f>
        <v>68.870558375634502</v>
      </c>
      <c r="H89" s="1">
        <f t="shared" si="4"/>
        <v>1.427664974619276</v>
      </c>
      <c r="I89" s="83">
        <f t="shared" si="5"/>
        <v>3.9628004509474679E-2</v>
      </c>
      <c r="J89" s="126">
        <f>'Raw Data'!F89/I89</f>
        <v>0.36026668319317956</v>
      </c>
      <c r="K89" s="123">
        <f t="shared" si="6"/>
        <v>1.5834817909457062</v>
      </c>
      <c r="L89" s="1">
        <f>A89*Table!$AC$9/$AC$16</f>
        <v>198.1422342279721</v>
      </c>
      <c r="M89" s="1">
        <f>A89*Table!$AD$9/$AC$16</f>
        <v>67.934480306733292</v>
      </c>
      <c r="N89" s="1">
        <f>ABS(A89*Table!$AE$9/$AC$16)</f>
        <v>85.798104202015182</v>
      </c>
      <c r="O89" s="1">
        <f>($L89*(Table!$AC$10/Table!$AC$9)/(Table!$AC$12-Table!$AC$14))</f>
        <v>425.01551743451768</v>
      </c>
      <c r="P89" s="1">
        <f>ROUND(($N89*(Table!$AE$10/Table!$AE$9)/(Table!$AC$12-Table!$AC$13)),2)</f>
        <v>704.42</v>
      </c>
      <c r="Q89" s="1">
        <f>'Raw Data'!C89</f>
        <v>1.0853999999999999</v>
      </c>
      <c r="R89" s="1">
        <f>'Raw Data'!C89/'Raw Data'!I$30*100</f>
        <v>9.9451255977260491</v>
      </c>
      <c r="S89" s="128">
        <f t="shared" si="7"/>
        <v>0.18749999999999875</v>
      </c>
      <c r="T89" s="128">
        <f t="shared" si="8"/>
        <v>3.5230464702877828E-3</v>
      </c>
      <c r="U89" s="5">
        <f t="shared" si="9"/>
        <v>1.1269950827437711E-2</v>
      </c>
      <c r="V89" s="5">
        <f t="shared" si="10"/>
        <v>0.20266233095733582</v>
      </c>
      <c r="W89" s="5">
        <f t="shared" si="11"/>
        <v>2.5284124168623153E-4</v>
      </c>
      <c r="X89" s="104">
        <f t="shared" si="12"/>
        <v>0.29337406181107972</v>
      </c>
      <c r="AS89" s="61"/>
      <c r="AT89" s="61"/>
    </row>
    <row r="90" spans="1:46" x14ac:dyDescent="0.2">
      <c r="A90" s="1">
        <v>963.67718505859375</v>
      </c>
      <c r="B90" s="42">
        <v>0.70184010152284271</v>
      </c>
      <c r="C90" s="42">
        <f t="shared" si="1"/>
        <v>0.29815989847715729</v>
      </c>
      <c r="D90" s="72">
        <f t="shared" si="2"/>
        <v>1.3134517766497655E-2</v>
      </c>
      <c r="E90" s="126">
        <f>(2*Table!$AC$16*0.147)/A90</f>
        <v>9.5109738703247196E-2</v>
      </c>
      <c r="F90" s="126">
        <f t="shared" si="3"/>
        <v>0.19021947740649439</v>
      </c>
      <c r="G90" s="1">
        <f>IF((('Raw Data'!C90)/('Raw Data'!C$136)*100)&lt;0,0,('Raw Data'!C90)/('Raw Data'!C$136)*100)</f>
        <v>70.184010152284273</v>
      </c>
      <c r="H90" s="1">
        <f t="shared" si="4"/>
        <v>1.3134517766497709</v>
      </c>
      <c r="I90" s="83">
        <f t="shared" si="5"/>
        <v>3.8243326159131175E-2</v>
      </c>
      <c r="J90" s="126">
        <f>'Raw Data'!F90/I90</f>
        <v>0.3434460096866232</v>
      </c>
      <c r="K90" s="123">
        <f t="shared" si="6"/>
        <v>1.7292444869998524</v>
      </c>
      <c r="L90" s="1">
        <f>A90*Table!$AC$9/$AC$16</f>
        <v>216.38162695632943</v>
      </c>
      <c r="M90" s="1">
        <f>A90*Table!$AD$9/$AC$16</f>
        <v>74.18798638502723</v>
      </c>
      <c r="N90" s="1">
        <f>ABS(A90*Table!$AE$9/$AC$16)</f>
        <v>93.695992928194485</v>
      </c>
      <c r="O90" s="1">
        <f>($L90*(Table!$AC$10/Table!$AC$9)/(Table!$AC$12-Table!$AC$14))</f>
        <v>464.13905396038064</v>
      </c>
      <c r="P90" s="1">
        <f>ROUND(($N90*(Table!$AE$10/Table!$AE$9)/(Table!$AC$12-Table!$AC$13)),2)</f>
        <v>769.26</v>
      </c>
      <c r="Q90" s="1">
        <f>'Raw Data'!C90</f>
        <v>1.1061000000000001</v>
      </c>
      <c r="R90" s="1">
        <f>'Raw Data'!C90/'Raw Data'!I$30*100</f>
        <v>10.13479217214371</v>
      </c>
      <c r="S90" s="128">
        <f t="shared" si="7"/>
        <v>0.17250000000000246</v>
      </c>
      <c r="T90" s="128">
        <f t="shared" si="8"/>
        <v>2.8605331194344608E-3</v>
      </c>
      <c r="U90" s="5">
        <f t="shared" si="9"/>
        <v>1.0516791648987198E-2</v>
      </c>
      <c r="V90" s="5">
        <f t="shared" si="10"/>
        <v>0.18029243546133789</v>
      </c>
      <c r="W90" s="5">
        <f t="shared" si="11"/>
        <v>1.9505140791806438E-4</v>
      </c>
      <c r="X90" s="104">
        <f t="shared" si="12"/>
        <v>0.29356911321899781</v>
      </c>
      <c r="AS90" s="61"/>
      <c r="AT90" s="61"/>
    </row>
    <row r="91" spans="1:46" x14ac:dyDescent="0.2">
      <c r="A91" s="1">
        <v>1049.6611328125</v>
      </c>
      <c r="B91" s="42">
        <v>0.71395939086294413</v>
      </c>
      <c r="C91" s="42">
        <f t="shared" si="1"/>
        <v>0.28604060913705587</v>
      </c>
      <c r="D91" s="72">
        <f t="shared" si="2"/>
        <v>1.2119289340101425E-2</v>
      </c>
      <c r="E91" s="126">
        <f>(2*Table!$AC$16*0.147)/A91</f>
        <v>8.7318737828864526E-2</v>
      </c>
      <c r="F91" s="126">
        <f t="shared" si="3"/>
        <v>0.17463747565772905</v>
      </c>
      <c r="G91" s="1">
        <f>IF((('Raw Data'!C91)/('Raw Data'!C$136)*100)&lt;0,0,('Raw Data'!C91)/('Raw Data'!C$136)*100)</f>
        <v>71.395939086294419</v>
      </c>
      <c r="H91" s="1">
        <f t="shared" si="4"/>
        <v>1.211928934010146</v>
      </c>
      <c r="I91" s="83">
        <f t="shared" si="5"/>
        <v>3.7117539069586813E-2</v>
      </c>
      <c r="J91" s="126">
        <f>'Raw Data'!F91/I91</f>
        <v>0.32651112233978002</v>
      </c>
      <c r="K91" s="123">
        <f t="shared" si="6"/>
        <v>1.8835360588345484</v>
      </c>
      <c r="L91" s="1">
        <f>A91*Table!$AC$9/$AC$16</f>
        <v>235.68824414680179</v>
      </c>
      <c r="M91" s="1">
        <f>A91*Table!$AD$9/$AC$16</f>
        <v>80.807397993189184</v>
      </c>
      <c r="N91" s="1">
        <f>ABS(A91*Table!$AE$9/$AC$16)</f>
        <v>102.0560034022397</v>
      </c>
      <c r="O91" s="1">
        <f>($L91*(Table!$AC$10/Table!$AC$9)/(Table!$AC$12-Table!$AC$14))</f>
        <v>505.55178924667916</v>
      </c>
      <c r="P91" s="1">
        <f>ROUND(($N91*(Table!$AE$10/Table!$AE$9)/(Table!$AC$12-Table!$AC$13)),2)</f>
        <v>837.9</v>
      </c>
      <c r="Q91" s="1">
        <f>'Raw Data'!C91</f>
        <v>1.1252</v>
      </c>
      <c r="R91" s="1">
        <f>'Raw Data'!C91/'Raw Data'!I$30*100</f>
        <v>10.309798528248894</v>
      </c>
      <c r="S91" s="128">
        <f t="shared" si="7"/>
        <v>0.15916666666666532</v>
      </c>
      <c r="T91" s="128">
        <f t="shared" si="8"/>
        <v>2.3452776883623461E-3</v>
      </c>
      <c r="U91" s="5">
        <f t="shared" si="9"/>
        <v>9.8220256099456095E-3</v>
      </c>
      <c r="V91" s="5">
        <f t="shared" si="10"/>
        <v>0.16061455242604591</v>
      </c>
      <c r="W91" s="5">
        <f t="shared" si="11"/>
        <v>1.5169701431468223E-4</v>
      </c>
      <c r="X91" s="104">
        <f t="shared" si="12"/>
        <v>0.29372081023331248</v>
      </c>
      <c r="AS91" s="61"/>
      <c r="AT91" s="61"/>
    </row>
    <row r="92" spans="1:46" x14ac:dyDescent="0.2">
      <c r="A92" s="1">
        <v>1148.0169677734375</v>
      </c>
      <c r="B92" s="42">
        <v>0.72633248730964473</v>
      </c>
      <c r="C92" s="42">
        <f t="shared" si="1"/>
        <v>0.27366751269035527</v>
      </c>
      <c r="D92" s="72">
        <f t="shared" si="2"/>
        <v>1.2373096446700593E-2</v>
      </c>
      <c r="E92" s="126">
        <f>(2*Table!$AC$16*0.147)/A92</f>
        <v>7.9837744421990001E-2</v>
      </c>
      <c r="F92" s="126">
        <f t="shared" si="3"/>
        <v>0.15967548884398</v>
      </c>
      <c r="G92" s="1">
        <f>IF((('Raw Data'!C92)/('Raw Data'!C$136)*100)&lt;0,0,('Raw Data'!C92)/('Raw Data'!C$136)*100)</f>
        <v>72.633248730964468</v>
      </c>
      <c r="H92" s="1">
        <f t="shared" si="4"/>
        <v>1.2373096446700487</v>
      </c>
      <c r="I92" s="83">
        <f t="shared" si="5"/>
        <v>3.8899190707522013E-2</v>
      </c>
      <c r="J92" s="126">
        <f>'Raw Data'!F92/I92</f>
        <v>0.31808107628079735</v>
      </c>
      <c r="K92" s="123">
        <f t="shared" si="6"/>
        <v>2.0600280293901521</v>
      </c>
      <c r="L92" s="1">
        <f>A92*Table!$AC$9/$AC$16</f>
        <v>257.77281346054127</v>
      </c>
      <c r="M92" s="1">
        <f>A92*Table!$AD$9/$AC$16</f>
        <v>88.379250329328443</v>
      </c>
      <c r="N92" s="1">
        <f>ABS(A92*Table!$AE$9/$AC$16)</f>
        <v>111.61890243090804</v>
      </c>
      <c r="O92" s="1">
        <f>($L92*(Table!$AC$10/Table!$AC$9)/(Table!$AC$12-Table!$AC$14))</f>
        <v>552.92323779609887</v>
      </c>
      <c r="P92" s="1">
        <f>ROUND(($N92*(Table!$AE$10/Table!$AE$9)/(Table!$AC$12-Table!$AC$13)),2)</f>
        <v>916.41</v>
      </c>
      <c r="Q92" s="1">
        <f>'Raw Data'!C92</f>
        <v>1.1447000000000001</v>
      </c>
      <c r="R92" s="1">
        <f>'Raw Data'!C92/'Raw Data'!I$30*100</f>
        <v>10.488469938932198</v>
      </c>
      <c r="S92" s="128">
        <f t="shared" si="7"/>
        <v>0.16250000000000106</v>
      </c>
      <c r="T92" s="128">
        <f t="shared" si="8"/>
        <v>1.9055078490494148E-3</v>
      </c>
      <c r="U92" s="5">
        <f t="shared" si="9"/>
        <v>9.1361628210726142E-3</v>
      </c>
      <c r="V92" s="5">
        <f t="shared" si="10"/>
        <v>0.14210996535170006</v>
      </c>
      <c r="W92" s="5">
        <f t="shared" si="11"/>
        <v>1.2947320413606792E-4</v>
      </c>
      <c r="X92" s="104">
        <f t="shared" si="12"/>
        <v>0.29385028343744857</v>
      </c>
      <c r="AS92" s="61"/>
      <c r="AT92" s="61"/>
    </row>
    <row r="93" spans="1:46" x14ac:dyDescent="0.2">
      <c r="A93" s="1">
        <v>1258.0850830078125</v>
      </c>
      <c r="B93" s="42">
        <v>0.73851522842639583</v>
      </c>
      <c r="C93" s="42">
        <f t="shared" si="1"/>
        <v>0.26148477157360417</v>
      </c>
      <c r="D93" s="72">
        <f t="shared" si="2"/>
        <v>1.2182741116751106E-2</v>
      </c>
      <c r="E93" s="126">
        <f>(2*Table!$AC$16*0.147)/A93</f>
        <v>7.2852851133149057E-2</v>
      </c>
      <c r="F93" s="126">
        <f t="shared" si="3"/>
        <v>0.14570570226629811</v>
      </c>
      <c r="G93" s="1">
        <f>IF((('Raw Data'!C93)/('Raw Data'!C$136)*100)&lt;0,0,('Raw Data'!C93)/('Raw Data'!C$136)*100)</f>
        <v>73.851522842639582</v>
      </c>
      <c r="H93" s="1">
        <f t="shared" si="4"/>
        <v>1.2182741116751146</v>
      </c>
      <c r="I93" s="83">
        <f t="shared" si="5"/>
        <v>3.976170598111417E-2</v>
      </c>
      <c r="J93" s="126">
        <f>'Raw Data'!F93/I93</f>
        <v>0.30639382330671644</v>
      </c>
      <c r="K93" s="123">
        <f t="shared" si="6"/>
        <v>2.2575367848266885</v>
      </c>
      <c r="L93" s="1">
        <f>A93*Table!$AC$9/$AC$16</f>
        <v>282.48722843237931</v>
      </c>
      <c r="M93" s="1">
        <f>A93*Table!$AD$9/$AC$16</f>
        <v>96.852764033958607</v>
      </c>
      <c r="N93" s="1">
        <f>ABS(A93*Table!$AE$9/$AC$16)</f>
        <v>122.32055803354912</v>
      </c>
      <c r="O93" s="1">
        <f>($L93*(Table!$AC$10/Table!$AC$9)/(Table!$AC$12-Table!$AC$14))</f>
        <v>605.93571092316461</v>
      </c>
      <c r="P93" s="1">
        <f>ROUND(($N93*(Table!$AE$10/Table!$AE$9)/(Table!$AC$12-Table!$AC$13)),2)</f>
        <v>1004.27</v>
      </c>
      <c r="Q93" s="1">
        <f>'Raw Data'!C93</f>
        <v>1.1638999999999999</v>
      </c>
      <c r="R93" s="1">
        <f>'Raw Data'!C93/'Raw Data'!I$30*100</f>
        <v>10.664392558681913</v>
      </c>
      <c r="S93" s="128">
        <f t="shared" si="7"/>
        <v>0.15999999999999778</v>
      </c>
      <c r="T93" s="128">
        <f t="shared" si="8"/>
        <v>1.5449552369438679E-3</v>
      </c>
      <c r="U93" s="5">
        <f t="shared" si="9"/>
        <v>8.4766862771996545E-3</v>
      </c>
      <c r="V93" s="5">
        <f t="shared" si="10"/>
        <v>0.12519968840380499</v>
      </c>
      <c r="W93" s="5">
        <f t="shared" si="11"/>
        <v>1.0615075836457409E-4</v>
      </c>
      <c r="X93" s="104">
        <f t="shared" si="12"/>
        <v>0.29395643419581313</v>
      </c>
      <c r="AS93" s="61"/>
      <c r="AT93" s="61"/>
    </row>
    <row r="94" spans="1:46" x14ac:dyDescent="0.2">
      <c r="A94" s="1">
        <v>1377.8966064453125</v>
      </c>
      <c r="B94" s="42">
        <v>0.75031725888324874</v>
      </c>
      <c r="C94" s="42">
        <f t="shared" si="1"/>
        <v>0.24968274111675126</v>
      </c>
      <c r="D94" s="72">
        <f t="shared" si="2"/>
        <v>1.1802030456852908E-2</v>
      </c>
      <c r="E94" s="126">
        <f>(2*Table!$AC$16*0.147)/A94</f>
        <v>6.6518115246436929E-2</v>
      </c>
      <c r="F94" s="126">
        <f t="shared" si="3"/>
        <v>0.13303623049287386</v>
      </c>
      <c r="G94" s="1">
        <f>IF((('Raw Data'!C94)/('Raw Data'!C$136)*100)&lt;0,0,('Raw Data'!C94)/('Raw Data'!C$136)*100)</f>
        <v>75.031725888324871</v>
      </c>
      <c r="H94" s="1">
        <f t="shared" si="4"/>
        <v>1.180203045685289</v>
      </c>
      <c r="I94" s="83">
        <f t="shared" si="5"/>
        <v>3.950661754188256E-2</v>
      </c>
      <c r="J94" s="126">
        <f>'Raw Data'!F94/I94</f>
        <v>0.29873553321392543</v>
      </c>
      <c r="K94" s="123">
        <f t="shared" si="6"/>
        <v>2.4725293358548144</v>
      </c>
      <c r="L94" s="1">
        <f>A94*Table!$AC$9/$AC$16</f>
        <v>309.38940352947503</v>
      </c>
      <c r="M94" s="1">
        <f>A94*Table!$AD$9/$AC$16</f>
        <v>106.07636692439145</v>
      </c>
      <c r="N94" s="1">
        <f>ABS(A94*Table!$AE$9/$AC$16)</f>
        <v>133.96954155912013</v>
      </c>
      <c r="O94" s="1">
        <f>($L94*(Table!$AC$10/Table!$AC$9)/(Table!$AC$12-Table!$AC$14))</f>
        <v>663.6409342116583</v>
      </c>
      <c r="P94" s="1">
        <f>ROUND(($N94*(Table!$AE$10/Table!$AE$9)/(Table!$AC$12-Table!$AC$13)),2)</f>
        <v>1099.9100000000001</v>
      </c>
      <c r="Q94" s="1">
        <f>'Raw Data'!C94</f>
        <v>1.1825000000000001</v>
      </c>
      <c r="R94" s="1">
        <f>'Raw Data'!C94/'Raw Data'!I$30*100</f>
        <v>10.83481759656445</v>
      </c>
      <c r="S94" s="128">
        <f t="shared" si="7"/>
        <v>0.15500000000000144</v>
      </c>
      <c r="T94" s="128">
        <f t="shared" si="8"/>
        <v>1.2537714923728238E-3</v>
      </c>
      <c r="U94" s="5">
        <f t="shared" si="9"/>
        <v>7.8633023304382991E-3</v>
      </c>
      <c r="V94" s="5">
        <f t="shared" si="10"/>
        <v>0.11026581873244506</v>
      </c>
      <c r="W94" s="5">
        <f t="shared" si="11"/>
        <v>8.5727780833804679E-5</v>
      </c>
      <c r="X94" s="104">
        <f t="shared" si="12"/>
        <v>0.29404216197664695</v>
      </c>
      <c r="AS94" s="61"/>
      <c r="AT94" s="61"/>
    </row>
    <row r="95" spans="1:46" x14ac:dyDescent="0.2">
      <c r="A95" s="1">
        <v>1509.191650390625</v>
      </c>
      <c r="B95" s="42">
        <v>0.76161167512690342</v>
      </c>
      <c r="C95" s="42">
        <f t="shared" si="1"/>
        <v>0.23838832487309658</v>
      </c>
      <c r="D95" s="72">
        <f t="shared" si="2"/>
        <v>1.1294416243654681E-2</v>
      </c>
      <c r="E95" s="126">
        <f>(2*Table!$AC$16*0.147)/A95</f>
        <v>6.0731243272834495E-2</v>
      </c>
      <c r="F95" s="126">
        <f t="shared" si="3"/>
        <v>0.12146248654566899</v>
      </c>
      <c r="G95" s="1">
        <f>IF((('Raw Data'!C95)/('Raw Data'!C$136)*100)&lt;0,0,('Raw Data'!C95)/('Raw Data'!C$136)*100)</f>
        <v>76.161167512690341</v>
      </c>
      <c r="H95" s="1">
        <f t="shared" si="4"/>
        <v>1.1294416243654695</v>
      </c>
      <c r="I95" s="83">
        <f t="shared" si="5"/>
        <v>3.95277632633948E-2</v>
      </c>
      <c r="J95" s="126">
        <f>'Raw Data'!F95/I95</f>
        <v>0.28573375549721586</v>
      </c>
      <c r="K95" s="123">
        <f t="shared" si="6"/>
        <v>2.7081281799833392</v>
      </c>
      <c r="L95" s="1">
        <f>A95*Table!$AC$9/$AC$16</f>
        <v>338.87005914804934</v>
      </c>
      <c r="M95" s="1">
        <f>A95*Table!$AD$9/$AC$16</f>
        <v>116.18402027933121</v>
      </c>
      <c r="N95" s="1">
        <f>ABS(A95*Table!$AE$9/$AC$16)</f>
        <v>146.73503990207303</v>
      </c>
      <c r="O95" s="1">
        <f>($L95*(Table!$AC$10/Table!$AC$9)/(Table!$AC$12-Table!$AC$14))</f>
        <v>726.87700374956967</v>
      </c>
      <c r="P95" s="1">
        <f>ROUND(($N95*(Table!$AE$10/Table!$AE$9)/(Table!$AC$12-Table!$AC$13)),2)</f>
        <v>1204.72</v>
      </c>
      <c r="Q95" s="1">
        <f>'Raw Data'!C95</f>
        <v>1.2002999999999999</v>
      </c>
      <c r="R95" s="1">
        <f>'Raw Data'!C95/'Raw Data'!I$30*100</f>
        <v>10.997912525290745</v>
      </c>
      <c r="S95" s="128">
        <f t="shared" si="7"/>
        <v>0.1483333333333314</v>
      </c>
      <c r="T95" s="128">
        <f t="shared" si="8"/>
        <v>1.0214878335332855E-3</v>
      </c>
      <c r="U95" s="5">
        <f t="shared" si="9"/>
        <v>7.2872868879470341E-3</v>
      </c>
      <c r="V95" s="5">
        <f t="shared" si="10"/>
        <v>9.6955349733930246E-2</v>
      </c>
      <c r="W95" s="5">
        <f t="shared" si="11"/>
        <v>6.8386930821314577E-5</v>
      </c>
      <c r="X95" s="104">
        <f t="shared" si="12"/>
        <v>0.29411054890746829</v>
      </c>
      <c r="Z95" s="116"/>
      <c r="AS95" s="61"/>
      <c r="AT95" s="61"/>
    </row>
    <row r="96" spans="1:46" x14ac:dyDescent="0.2">
      <c r="A96" s="1">
        <v>1648.0450439453125</v>
      </c>
      <c r="B96" s="42">
        <v>0.77246192893401011</v>
      </c>
      <c r="C96" s="42">
        <f t="shared" si="1"/>
        <v>0.22753807106598989</v>
      </c>
      <c r="D96" s="72">
        <f t="shared" si="2"/>
        <v>1.0850253807106691E-2</v>
      </c>
      <c r="E96" s="126">
        <f>(2*Table!$AC$16*0.147)/A96</f>
        <v>5.5614429715942312E-2</v>
      </c>
      <c r="F96" s="126">
        <f t="shared" si="3"/>
        <v>0.11122885943188462</v>
      </c>
      <c r="G96" s="1">
        <f>IF((('Raw Data'!C96)/('Raw Data'!C$136)*100)&lt;0,0,('Raw Data'!C96)/('Raw Data'!C$136)*100)</f>
        <v>77.246192893401016</v>
      </c>
      <c r="H96" s="1">
        <f t="shared" si="4"/>
        <v>1.0850253807106753</v>
      </c>
      <c r="I96" s="83">
        <f t="shared" si="5"/>
        <v>3.822468374943977E-2</v>
      </c>
      <c r="J96" s="126">
        <f>'Raw Data'!F96/I96</f>
        <v>0.28385463901361158</v>
      </c>
      <c r="K96" s="123">
        <f t="shared" si="6"/>
        <v>2.957289900348302</v>
      </c>
      <c r="L96" s="1">
        <f>A96*Table!$AC$9/$AC$16</f>
        <v>370.04784738627973</v>
      </c>
      <c r="M96" s="1">
        <f>A96*Table!$AD$9/$AC$16</f>
        <v>126.8735476752959</v>
      </c>
      <c r="N96" s="1">
        <f>ABS(A96*Table!$AE$9/$AC$16)</f>
        <v>160.23541822613262</v>
      </c>
      <c r="O96" s="1">
        <f>($L96*(Table!$AC$10/Table!$AC$9)/(Table!$AC$12-Table!$AC$14))</f>
        <v>793.75342639699659</v>
      </c>
      <c r="P96" s="1">
        <f>ROUND(($N96*(Table!$AE$10/Table!$AE$9)/(Table!$AC$12-Table!$AC$13)),2)</f>
        <v>1315.56</v>
      </c>
      <c r="Q96" s="1">
        <f>'Raw Data'!C96</f>
        <v>1.2174</v>
      </c>
      <c r="R96" s="1">
        <f>'Raw Data'!C96/'Raw Data'!I$30*100</f>
        <v>11.154593608505337</v>
      </c>
      <c r="S96" s="128">
        <f t="shared" si="7"/>
        <v>0.14250000000000115</v>
      </c>
      <c r="T96" s="128">
        <f t="shared" si="8"/>
        <v>8.3435697984857171E-4</v>
      </c>
      <c r="U96" s="5">
        <f t="shared" si="9"/>
        <v>6.7683790861698574E-3</v>
      </c>
      <c r="V96" s="5">
        <f t="shared" si="10"/>
        <v>8.5570186960181052E-2</v>
      </c>
      <c r="W96" s="5">
        <f t="shared" si="11"/>
        <v>5.509343536871319E-5</v>
      </c>
      <c r="X96" s="104">
        <f t="shared" si="12"/>
        <v>0.29416564234283699</v>
      </c>
      <c r="Z96" s="48"/>
      <c r="AS96" s="61"/>
      <c r="AT96" s="61"/>
    </row>
    <row r="97" spans="1:46" x14ac:dyDescent="0.2">
      <c r="A97" s="1">
        <v>1810.51611328125</v>
      </c>
      <c r="B97" s="42">
        <v>0.78350253807106585</v>
      </c>
      <c r="C97" s="42">
        <f t="shared" si="1"/>
        <v>0.21649746192893415</v>
      </c>
      <c r="D97" s="72">
        <f t="shared" si="2"/>
        <v>1.1040609137055735E-2</v>
      </c>
      <c r="E97" s="126">
        <f>(2*Table!$AC$16*0.147)/A97</f>
        <v>5.0623733527062904E-2</v>
      </c>
      <c r="F97" s="126">
        <f t="shared" si="3"/>
        <v>0.10124746705412581</v>
      </c>
      <c r="G97" s="1">
        <f>IF((('Raw Data'!C97)/('Raw Data'!C$136)*100)&lt;0,0,('Raw Data'!C97)/('Raw Data'!C$136)*100)</f>
        <v>78.350253807106583</v>
      </c>
      <c r="H97" s="1">
        <f t="shared" si="4"/>
        <v>1.1040609137055668</v>
      </c>
      <c r="I97" s="83">
        <f t="shared" si="5"/>
        <v>4.0833316767307837E-2</v>
      </c>
      <c r="J97" s="126">
        <f>'Raw Data'!F97/I97</f>
        <v>0.27038237427470302</v>
      </c>
      <c r="K97" s="123">
        <f t="shared" si="6"/>
        <v>3.2488317208896467</v>
      </c>
      <c r="L97" s="1">
        <f>A97*Table!$AC$9/$AC$16</f>
        <v>406.52868854483347</v>
      </c>
      <c r="M97" s="1">
        <f>A97*Table!$AD$9/$AC$16</f>
        <v>139.3812646439429</v>
      </c>
      <c r="N97" s="1">
        <f>ABS(A97*Table!$AE$9/$AC$16)</f>
        <v>176.03208582349885</v>
      </c>
      <c r="O97" s="1">
        <f>($L97*(Table!$AC$10/Table!$AC$9)/(Table!$AC$12-Table!$AC$14))</f>
        <v>872.00490893357687</v>
      </c>
      <c r="P97" s="1">
        <f>ROUND(($N97*(Table!$AE$10/Table!$AE$9)/(Table!$AC$12-Table!$AC$13)),2)</f>
        <v>1445.26</v>
      </c>
      <c r="Q97" s="1">
        <f>'Raw Data'!C97</f>
        <v>1.2347999999999999</v>
      </c>
      <c r="R97" s="1">
        <f>'Raw Data'!C97/'Raw Data'!I$30*100</f>
        <v>11.314023482653514</v>
      </c>
      <c r="S97" s="128">
        <f t="shared" si="7"/>
        <v>0.14499999999999857</v>
      </c>
      <c r="T97" s="128">
        <f t="shared" si="8"/>
        <v>6.7658426335104327E-4</v>
      </c>
      <c r="U97" s="5">
        <f t="shared" si="9"/>
        <v>6.2490598120934623E-3</v>
      </c>
      <c r="V97" s="5">
        <f t="shared" si="10"/>
        <v>7.4764515292666117E-2</v>
      </c>
      <c r="W97" s="5">
        <f t="shared" si="11"/>
        <v>4.6450068431470239E-5</v>
      </c>
      <c r="X97" s="104">
        <f t="shared" si="12"/>
        <v>0.29421209241126844</v>
      </c>
      <c r="Z97" s="42"/>
      <c r="AS97" s="61"/>
      <c r="AT97" s="61"/>
    </row>
    <row r="98" spans="1:46" x14ac:dyDescent="0.2">
      <c r="A98" s="1">
        <v>1978.1549072265625</v>
      </c>
      <c r="B98" s="42">
        <v>0.79384517766497464</v>
      </c>
      <c r="C98" s="42">
        <f t="shared" si="1"/>
        <v>0.20615482233502536</v>
      </c>
      <c r="D98" s="72">
        <f t="shared" si="2"/>
        <v>1.0342639593908798E-2</v>
      </c>
      <c r="E98" s="126">
        <f>(2*Table!$AC$16*0.147)/A98</f>
        <v>4.6333623787687614E-2</v>
      </c>
      <c r="F98" s="126">
        <f t="shared" si="3"/>
        <v>9.2667247575375228E-2</v>
      </c>
      <c r="G98" s="1">
        <f>IF((('Raw Data'!C98)/('Raw Data'!C$136)*100)&lt;0,0,('Raw Data'!C98)/('Raw Data'!C$136)*100)</f>
        <v>79.384517766497467</v>
      </c>
      <c r="H98" s="1">
        <f t="shared" si="4"/>
        <v>1.0342639593908842</v>
      </c>
      <c r="I98" s="83">
        <f t="shared" si="5"/>
        <v>3.8457903419896411E-2</v>
      </c>
      <c r="J98" s="126">
        <f>'Raw Data'!F98/I98</f>
        <v>0.26893404668955445</v>
      </c>
      <c r="K98" s="123">
        <f t="shared" si="6"/>
        <v>3.5496466252288106</v>
      </c>
      <c r="L98" s="1">
        <f>A98*Table!$AC$9/$AC$16</f>
        <v>444.16987745881409</v>
      </c>
      <c r="M98" s="1">
        <f>A98*Table!$AD$9/$AC$16</f>
        <v>152.28681512873627</v>
      </c>
      <c r="N98" s="1">
        <f>ABS(A98*Table!$AE$9/$AC$16)</f>
        <v>192.33119873757707</v>
      </c>
      <c r="O98" s="1">
        <f>($L98*(Table!$AC$10/Table!$AC$9)/(Table!$AC$12-Table!$AC$14))</f>
        <v>952.74533989449628</v>
      </c>
      <c r="P98" s="1">
        <f>ROUND(($N98*(Table!$AE$10/Table!$AE$9)/(Table!$AC$12-Table!$AC$13)),2)</f>
        <v>1579.07</v>
      </c>
      <c r="Q98" s="1">
        <f>'Raw Data'!C98</f>
        <v>1.2511000000000001</v>
      </c>
      <c r="R98" s="1">
        <f>'Raw Data'!C98/'Raw Data'!I$30*100</f>
        <v>11.463374456711867</v>
      </c>
      <c r="S98" s="128">
        <f t="shared" si="7"/>
        <v>0.13583333333333547</v>
      </c>
      <c r="T98" s="128">
        <f t="shared" si="8"/>
        <v>5.5277462572733693E-4</v>
      </c>
      <c r="U98" s="5">
        <f t="shared" si="9"/>
        <v>5.7949832011810892E-3</v>
      </c>
      <c r="V98" s="5">
        <f t="shared" si="10"/>
        <v>6.5810339971549281E-2</v>
      </c>
      <c r="W98" s="5">
        <f t="shared" si="11"/>
        <v>3.6450954688306028E-5</v>
      </c>
      <c r="X98" s="104">
        <f t="shared" si="12"/>
        <v>0.29424854336595674</v>
      </c>
      <c r="Z98" s="42"/>
      <c r="AS98" s="61"/>
      <c r="AT98" s="61"/>
    </row>
    <row r="99" spans="1:46" x14ac:dyDescent="0.2">
      <c r="A99" s="1">
        <v>2158.113525390625</v>
      </c>
      <c r="B99" s="42">
        <v>0.80368020304568522</v>
      </c>
      <c r="C99" s="42">
        <f t="shared" si="1"/>
        <v>0.19631979695431478</v>
      </c>
      <c r="D99" s="72">
        <f t="shared" si="2"/>
        <v>9.8350253807105714E-3</v>
      </c>
      <c r="E99" s="126">
        <f>(2*Table!$AC$16*0.147)/A99</f>
        <v>4.2470001780195409E-2</v>
      </c>
      <c r="F99" s="126">
        <f t="shared" si="3"/>
        <v>8.4940003560390817E-2</v>
      </c>
      <c r="G99" s="1">
        <f>IF((('Raw Data'!C99)/('Raw Data'!C$136)*100)&lt;0,0,('Raw Data'!C99)/('Raw Data'!C$136)*100)</f>
        <v>80.368020304568518</v>
      </c>
      <c r="H99" s="1">
        <f t="shared" si="4"/>
        <v>0.98350253807105048</v>
      </c>
      <c r="I99" s="83">
        <f t="shared" si="5"/>
        <v>3.7813988835918133E-2</v>
      </c>
      <c r="J99" s="126">
        <f>'Raw Data'!F99/I99</f>
        <v>0.26008960396604969</v>
      </c>
      <c r="K99" s="123">
        <f t="shared" si="6"/>
        <v>3.8725685052662588</v>
      </c>
      <c r="L99" s="1">
        <f>A99*Table!$AC$9/$AC$16</f>
        <v>484.57732840493674</v>
      </c>
      <c r="M99" s="1">
        <f>A99*Table!$AD$9/$AC$16</f>
        <v>166.14079831026402</v>
      </c>
      <c r="N99" s="1">
        <f>ABS(A99*Table!$AE$9/$AC$16)</f>
        <v>209.82813824833494</v>
      </c>
      <c r="O99" s="1">
        <f>($L99*(Table!$AC$10/Table!$AC$9)/(Table!$AC$12-Table!$AC$14))</f>
        <v>1039.4194088479983</v>
      </c>
      <c r="P99" s="1">
        <f>ROUND(($N99*(Table!$AE$10/Table!$AE$9)/(Table!$AC$12-Table!$AC$13)),2)</f>
        <v>1722.73</v>
      </c>
      <c r="Q99" s="1">
        <f>'Raw Data'!C99</f>
        <v>1.2665999999999999</v>
      </c>
      <c r="R99" s="1">
        <f>'Raw Data'!C99/'Raw Data'!I$30*100</f>
        <v>11.60539532161398</v>
      </c>
      <c r="S99" s="128">
        <f t="shared" si="7"/>
        <v>0.12916666666666546</v>
      </c>
      <c r="T99" s="128">
        <f t="shared" si="8"/>
        <v>4.5385770950889803E-4</v>
      </c>
      <c r="U99" s="5">
        <f t="shared" si="9"/>
        <v>5.3775647967886069E-3</v>
      </c>
      <c r="V99" s="5">
        <f t="shared" si="10"/>
        <v>5.7995357968436925E-2</v>
      </c>
      <c r="W99" s="5">
        <f t="shared" si="11"/>
        <v>2.9122256555991309E-5</v>
      </c>
      <c r="X99" s="104">
        <f t="shared" si="12"/>
        <v>0.29427766562251273</v>
      </c>
      <c r="Z99" s="42"/>
      <c r="AS99" s="61"/>
      <c r="AT99" s="61"/>
    </row>
    <row r="100" spans="1:46" x14ac:dyDescent="0.2">
      <c r="A100" s="1">
        <v>2367.482177734375</v>
      </c>
      <c r="B100" s="42">
        <v>0.81383248730964464</v>
      </c>
      <c r="C100" s="42">
        <f t="shared" si="1"/>
        <v>0.18616751269035536</v>
      </c>
      <c r="D100" s="72">
        <f t="shared" si="2"/>
        <v>1.0152284263959421E-2</v>
      </c>
      <c r="E100" s="126">
        <f>(2*Table!$AC$16*0.147)/A100</f>
        <v>3.871416060792289E-2</v>
      </c>
      <c r="F100" s="126">
        <f t="shared" si="3"/>
        <v>7.742832121584578E-2</v>
      </c>
      <c r="G100" s="1">
        <f>IF((('Raw Data'!C100)/('Raw Data'!C$136)*100)&lt;0,0,('Raw Data'!C100)/('Raw Data'!C$136)*100)</f>
        <v>81.383248730964468</v>
      </c>
      <c r="H100" s="1">
        <f t="shared" si="4"/>
        <v>1.0152284263959501</v>
      </c>
      <c r="I100" s="83">
        <f t="shared" si="5"/>
        <v>4.0212431772421953E-2</v>
      </c>
      <c r="J100" s="126">
        <f>'Raw Data'!F100/I100</f>
        <v>0.25246630995646352</v>
      </c>
      <c r="K100" s="123">
        <f t="shared" si="6"/>
        <v>4.2482644265036225</v>
      </c>
      <c r="L100" s="1">
        <f>A100*Table!$AC$9/$AC$16</f>
        <v>531.58843371095281</v>
      </c>
      <c r="M100" s="1">
        <f>A100*Table!$AD$9/$AC$16</f>
        <v>182.25889155804097</v>
      </c>
      <c r="N100" s="1">
        <f>ABS(A100*Table!$AE$9/$AC$16)</f>
        <v>230.18454397583267</v>
      </c>
      <c r="O100" s="1">
        <f>($L100*(Table!$AC$10/Table!$AC$9)/(Table!$AC$12-Table!$AC$14))</f>
        <v>1140.2583305683245</v>
      </c>
      <c r="P100" s="1">
        <f>ROUND(($N100*(Table!$AE$10/Table!$AE$9)/(Table!$AC$12-Table!$AC$13)),2)</f>
        <v>1889.86</v>
      </c>
      <c r="Q100" s="1">
        <f>'Raw Data'!C100</f>
        <v>1.2826</v>
      </c>
      <c r="R100" s="1">
        <f>'Raw Data'!C100/'Raw Data'!I$30*100</f>
        <v>11.751997504738741</v>
      </c>
      <c r="S100" s="128">
        <f t="shared" si="7"/>
        <v>0.13333333333333366</v>
      </c>
      <c r="T100" s="128">
        <f t="shared" si="8"/>
        <v>3.6901119826571183E-4</v>
      </c>
      <c r="U100" s="5">
        <f t="shared" si="9"/>
        <v>4.9639222695163545E-3</v>
      </c>
      <c r="V100" s="5">
        <f t="shared" si="10"/>
        <v>5.0653904089769941E-2</v>
      </c>
      <c r="W100" s="5">
        <f t="shared" si="11"/>
        <v>2.4979770526267535E-5</v>
      </c>
      <c r="X100" s="104">
        <f t="shared" si="12"/>
        <v>0.29430264539303902</v>
      </c>
      <c r="Z100" s="42"/>
      <c r="AS100" s="61"/>
      <c r="AT100" s="61"/>
    </row>
    <row r="101" spans="1:46" x14ac:dyDescent="0.2">
      <c r="A101" s="1">
        <v>2587.98974609375</v>
      </c>
      <c r="B101" s="42">
        <v>0.82360406091370553</v>
      </c>
      <c r="C101" s="42">
        <f t="shared" si="1"/>
        <v>0.17639593908629447</v>
      </c>
      <c r="D101" s="72">
        <f t="shared" si="2"/>
        <v>9.7715736040608903E-3</v>
      </c>
      <c r="E101" s="126">
        <f>(2*Table!$AC$16*0.147)/A101</f>
        <v>3.5415551936998836E-2</v>
      </c>
      <c r="F101" s="126">
        <f t="shared" si="3"/>
        <v>7.0831103873997672E-2</v>
      </c>
      <c r="G101" s="1">
        <f>IF((('Raw Data'!C101)/('Raw Data'!C$136)*100)&lt;0,0,('Raw Data'!C101)/('Raw Data'!C$136)*100)</f>
        <v>82.36040609137055</v>
      </c>
      <c r="H101" s="1">
        <f t="shared" si="4"/>
        <v>0.97715736040608192</v>
      </c>
      <c r="I101" s="83">
        <f t="shared" si="5"/>
        <v>3.8675832932044907E-2</v>
      </c>
      <c r="J101" s="126">
        <f>'Raw Data'!F101/I101</f>
        <v>0.25265321683517361</v>
      </c>
      <c r="K101" s="123">
        <f t="shared" si="6"/>
        <v>4.6439482746212972</v>
      </c>
      <c r="L101" s="1">
        <f>A101*Table!$AC$9/$AC$16</f>
        <v>581.10064292122331</v>
      </c>
      <c r="M101" s="1">
        <f>A101*Table!$AD$9/$AC$16</f>
        <v>199.23450614441941</v>
      </c>
      <c r="N101" s="1">
        <f>ABS(A101*Table!$AE$9/$AC$16)</f>
        <v>251.62395946262467</v>
      </c>
      <c r="O101" s="1">
        <f>($L101*(Table!$AC$10/Table!$AC$9)/(Table!$AC$12-Table!$AC$14))</f>
        <v>1246.4621255281497</v>
      </c>
      <c r="P101" s="1">
        <f>ROUND(($N101*(Table!$AE$10/Table!$AE$9)/(Table!$AC$12-Table!$AC$13)),2)</f>
        <v>2065.88</v>
      </c>
      <c r="Q101" s="1">
        <f>'Raw Data'!C101</f>
        <v>1.298</v>
      </c>
      <c r="R101" s="1">
        <f>'Raw Data'!C101/'Raw Data'!I$30*100</f>
        <v>11.893102105996325</v>
      </c>
      <c r="S101" s="128">
        <f t="shared" si="7"/>
        <v>0.12833333333333297</v>
      </c>
      <c r="T101" s="128">
        <f t="shared" si="8"/>
        <v>3.006699256378198E-4</v>
      </c>
      <c r="U101" s="5">
        <f t="shared" si="9"/>
        <v>4.5954981560292077E-3</v>
      </c>
      <c r="V101" s="5">
        <f t="shared" si="10"/>
        <v>4.4460804398335114E-2</v>
      </c>
      <c r="W101" s="5">
        <f t="shared" si="11"/>
        <v>2.0120441992327897E-5</v>
      </c>
      <c r="X101" s="104">
        <f t="shared" si="12"/>
        <v>0.29432276583503136</v>
      </c>
      <c r="Z101" s="42"/>
      <c r="AS101" s="61"/>
      <c r="AT101" s="61"/>
    </row>
    <row r="102" spans="1:46" x14ac:dyDescent="0.2">
      <c r="A102" s="1">
        <v>2828.620361328125</v>
      </c>
      <c r="B102" s="42">
        <v>0.83274111675126905</v>
      </c>
      <c r="C102" s="42">
        <f t="shared" si="1"/>
        <v>0.16725888324873095</v>
      </c>
      <c r="D102" s="72">
        <f t="shared" si="2"/>
        <v>9.1370558375635236E-3</v>
      </c>
      <c r="E102" s="126">
        <f>(2*Table!$AC$16*0.147)/A102</f>
        <v>3.2402752422445523E-2</v>
      </c>
      <c r="F102" s="126">
        <f t="shared" si="3"/>
        <v>6.4805504844891046E-2</v>
      </c>
      <c r="G102" s="1">
        <f>IF((('Raw Data'!C102)/('Raw Data'!C$136)*100)&lt;0,0,('Raw Data'!C102)/('Raw Data'!C$136)*100)</f>
        <v>83.274111675126903</v>
      </c>
      <c r="H102" s="1">
        <f t="shared" si="4"/>
        <v>0.91370558375635369</v>
      </c>
      <c r="I102" s="83">
        <f t="shared" si="5"/>
        <v>3.861211196554093E-2</v>
      </c>
      <c r="J102" s="126">
        <f>'Raw Data'!F102/I102</f>
        <v>0.23663703880579792</v>
      </c>
      <c r="K102" s="123">
        <f t="shared" si="6"/>
        <v>5.0757413804963996</v>
      </c>
      <c r="L102" s="1">
        <f>A102*Table!$AC$9/$AC$16</f>
        <v>635.13122995514868</v>
      </c>
      <c r="M102" s="1">
        <f>A102*Table!$AD$9/$AC$16</f>
        <v>217.75927884176525</v>
      </c>
      <c r="N102" s="1">
        <f>ABS(A102*Table!$AE$9/$AC$16)</f>
        <v>275.01988993900744</v>
      </c>
      <c r="O102" s="1">
        <f>($L102*(Table!$AC$10/Table!$AC$9)/(Table!$AC$12-Table!$AC$14))</f>
        <v>1362.3578506116446</v>
      </c>
      <c r="P102" s="1">
        <f>ROUND(($N102*(Table!$AE$10/Table!$AE$9)/(Table!$AC$12-Table!$AC$13)),2)</f>
        <v>2257.96</v>
      </c>
      <c r="Q102" s="1">
        <f>'Raw Data'!C102</f>
        <v>1.3124</v>
      </c>
      <c r="R102" s="1">
        <f>'Raw Data'!C102/'Raw Data'!I$30*100</f>
        <v>12.02504407080861</v>
      </c>
      <c r="S102" s="128">
        <f t="shared" si="7"/>
        <v>0.12000000000000088</v>
      </c>
      <c r="T102" s="128">
        <f t="shared" si="8"/>
        <v>2.4717647551264488E-4</v>
      </c>
      <c r="U102" s="5">
        <f t="shared" si="9"/>
        <v>4.2512046633088928E-3</v>
      </c>
      <c r="V102" s="5">
        <f t="shared" si="10"/>
        <v>3.8975052642340732E-2</v>
      </c>
      <c r="W102" s="5">
        <f t="shared" si="11"/>
        <v>1.5749075468254605E-5</v>
      </c>
      <c r="X102" s="104">
        <f t="shared" si="12"/>
        <v>0.29433851491049962</v>
      </c>
      <c r="Z102" s="42"/>
      <c r="AS102" s="61"/>
      <c r="AT102" s="61"/>
    </row>
    <row r="103" spans="1:46" x14ac:dyDescent="0.2">
      <c r="A103" s="1">
        <v>3097.880859375</v>
      </c>
      <c r="B103" s="42">
        <v>0.84232233502538056</v>
      </c>
      <c r="C103" s="42">
        <f t="shared" si="1"/>
        <v>0.15767766497461944</v>
      </c>
      <c r="D103" s="72">
        <f t="shared" si="2"/>
        <v>9.5812182741115137E-3</v>
      </c>
      <c r="E103" s="126">
        <f>(2*Table!$AC$16*0.147)/A103</f>
        <v>2.9586381602711192E-2</v>
      </c>
      <c r="F103" s="126">
        <f t="shared" si="3"/>
        <v>5.9172763205422384E-2</v>
      </c>
      <c r="G103" s="1">
        <f>IF((('Raw Data'!C103)/('Raw Data'!C$136)*100)&lt;0,0,('Raw Data'!C103)/('Raw Data'!C$136)*100)</f>
        <v>84.232233502538051</v>
      </c>
      <c r="H103" s="1">
        <f t="shared" si="4"/>
        <v>0.95812182741114782</v>
      </c>
      <c r="I103" s="83">
        <f t="shared" si="5"/>
        <v>3.9490048079457329E-2</v>
      </c>
      <c r="J103" s="126">
        <f>'Raw Data'!F103/I103</f>
        <v>0.24262361633070917</v>
      </c>
      <c r="K103" s="123">
        <f t="shared" si="6"/>
        <v>5.5589086060295863</v>
      </c>
      <c r="L103" s="1">
        <f>A103*Table!$AC$9/$AC$16</f>
        <v>695.59029814291728</v>
      </c>
      <c r="M103" s="1">
        <f>A103*Table!$AD$9/$AC$16</f>
        <v>238.48810222042877</v>
      </c>
      <c r="N103" s="1">
        <f>ABS(A103*Table!$AE$9/$AC$16)</f>
        <v>301.19943440887897</v>
      </c>
      <c r="O103" s="1">
        <f>($L103*(Table!$AC$10/Table!$AC$9)/(Table!$AC$12-Table!$AC$14))</f>
        <v>1492.0426815592393</v>
      </c>
      <c r="P103" s="1">
        <f>ROUND(($N103*(Table!$AE$10/Table!$AE$9)/(Table!$AC$12-Table!$AC$13)),2)</f>
        <v>2472.9</v>
      </c>
      <c r="Q103" s="1">
        <f>'Raw Data'!C103</f>
        <v>1.3274999999999999</v>
      </c>
      <c r="R103" s="1">
        <f>'Raw Data'!C103/'Raw Data'!I$30*100</f>
        <v>12.163399881132603</v>
      </c>
      <c r="S103" s="128">
        <f t="shared" si="7"/>
        <v>0.12583333333333116</v>
      </c>
      <c r="T103" s="128">
        <f t="shared" si="8"/>
        <v>2.0040996478531969E-4</v>
      </c>
      <c r="U103" s="5">
        <f t="shared" si="9"/>
        <v>3.9263614171355125E-3</v>
      </c>
      <c r="V103" s="5">
        <f t="shared" si="10"/>
        <v>3.4073005867546843E-2</v>
      </c>
      <c r="W103" s="5">
        <f t="shared" si="11"/>
        <v>1.3768588586200631E-5</v>
      </c>
      <c r="X103" s="104">
        <f t="shared" si="12"/>
        <v>0.29435228349908582</v>
      </c>
      <c r="Z103" s="42"/>
      <c r="AS103" s="61"/>
      <c r="AT103" s="61"/>
    </row>
    <row r="104" spans="1:46" x14ac:dyDescent="0.2">
      <c r="A104" s="1">
        <v>3388.56689453125</v>
      </c>
      <c r="B104" s="42">
        <v>0.85139593908629441</v>
      </c>
      <c r="C104" s="42">
        <f t="shared" si="1"/>
        <v>0.14860406091370559</v>
      </c>
      <c r="D104" s="72">
        <f t="shared" si="2"/>
        <v>9.0736040609138424E-3</v>
      </c>
      <c r="E104" s="126">
        <f>(2*Table!$AC$16*0.147)/A104</f>
        <v>2.7048332855144224E-2</v>
      </c>
      <c r="F104" s="126">
        <f t="shared" si="3"/>
        <v>5.4096665710288448E-2</v>
      </c>
      <c r="G104" s="1">
        <f>IF((('Raw Data'!C104)/('Raw Data'!C$136)*100)&lt;0,0,('Raw Data'!C104)/('Raw Data'!C$136)*100)</f>
        <v>85.139593908629436</v>
      </c>
      <c r="H104" s="1">
        <f t="shared" si="4"/>
        <v>0.90736040609138513</v>
      </c>
      <c r="I104" s="83">
        <f t="shared" si="5"/>
        <v>3.8951352253175031E-2</v>
      </c>
      <c r="J104" s="126">
        <f>'Raw Data'!F104/I104</f>
        <v>0.23294708748331652</v>
      </c>
      <c r="K104" s="123">
        <f t="shared" si="6"/>
        <v>6.08052230772911</v>
      </c>
      <c r="L104" s="1">
        <f>A104*Table!$AC$9/$AC$16</f>
        <v>760.86020200265193</v>
      </c>
      <c r="M104" s="1">
        <f>A104*Table!$AD$9/$AC$16</f>
        <v>260.86635497233777</v>
      </c>
      <c r="N104" s="1">
        <f>ABS(A104*Table!$AE$9/$AC$16)</f>
        <v>329.46213183142811</v>
      </c>
      <c r="O104" s="1">
        <f>($L104*(Table!$AC$10/Table!$AC$9)/(Table!$AC$12-Table!$AC$14))</f>
        <v>1632.0467653424539</v>
      </c>
      <c r="P104" s="1">
        <f>ROUND(($N104*(Table!$AE$10/Table!$AE$9)/(Table!$AC$12-Table!$AC$13)),2)</f>
        <v>2704.94</v>
      </c>
      <c r="Q104" s="1">
        <f>'Raw Data'!C104</f>
        <v>1.3418000000000001</v>
      </c>
      <c r="R104" s="1">
        <f>'Raw Data'!C104/'Raw Data'!I$30*100</f>
        <v>12.294425582300363</v>
      </c>
      <c r="S104" s="128">
        <f t="shared" si="7"/>
        <v>0.11916666666666841</v>
      </c>
      <c r="T104" s="128">
        <f t="shared" si="8"/>
        <v>1.6339380562502281E-4</v>
      </c>
      <c r="U104" s="5">
        <f t="shared" si="9"/>
        <v>3.6282080197803167E-3</v>
      </c>
      <c r="V104" s="5">
        <f t="shared" si="10"/>
        <v>2.9813459266162603E-2</v>
      </c>
      <c r="W104" s="5">
        <f t="shared" si="11"/>
        <v>1.0897975037989998E-5</v>
      </c>
      <c r="X104" s="104">
        <f t="shared" si="12"/>
        <v>0.29436318147412383</v>
      </c>
      <c r="Z104" s="42"/>
      <c r="AS104" s="61"/>
      <c r="AT104" s="61"/>
    </row>
    <row r="105" spans="1:46" x14ac:dyDescent="0.2">
      <c r="A105" s="1">
        <v>3707.705810546875</v>
      </c>
      <c r="B105" s="42">
        <v>0.86040609137055835</v>
      </c>
      <c r="C105" s="42">
        <f t="shared" si="1"/>
        <v>0.13959390862944165</v>
      </c>
      <c r="D105" s="72">
        <f t="shared" si="2"/>
        <v>9.0101522842639392E-3</v>
      </c>
      <c r="E105" s="126">
        <f>(2*Table!$AC$16*0.147)/A105</f>
        <v>2.4720161185518869E-2</v>
      </c>
      <c r="F105" s="126">
        <f t="shared" si="3"/>
        <v>4.9440322371037737E-2</v>
      </c>
      <c r="G105" s="1">
        <f>IF((('Raw Data'!C105)/('Raw Data'!C$136)*100)&lt;0,0,('Raw Data'!C105)/('Raw Data'!C$136)*100)</f>
        <v>86.040609137055839</v>
      </c>
      <c r="H105" s="1">
        <f t="shared" si="4"/>
        <v>0.90101522842640236</v>
      </c>
      <c r="I105" s="83">
        <f t="shared" si="5"/>
        <v>3.9089203989250088E-2</v>
      </c>
      <c r="J105" s="126">
        <f>'Raw Data'!F105/I105</f>
        <v>0.23050232199002618</v>
      </c>
      <c r="K105" s="123">
        <f t="shared" si="6"/>
        <v>6.6531925127143756</v>
      </c>
      <c r="L105" s="1">
        <f>A105*Table!$AC$9/$AC$16</f>
        <v>832.51884344734026</v>
      </c>
      <c r="M105" s="1">
        <f>A105*Table!$AD$9/$AC$16</f>
        <v>285.43503203908807</v>
      </c>
      <c r="N105" s="1">
        <f>ABS(A105*Table!$AE$9/$AC$16)</f>
        <v>360.49123377731837</v>
      </c>
      <c r="O105" s="1">
        <f>($L105*(Table!$AC$10/Table!$AC$9)/(Table!$AC$12-Table!$AC$14))</f>
        <v>1785.7547049492498</v>
      </c>
      <c r="P105" s="1">
        <f>ROUND(($N105*(Table!$AE$10/Table!$AE$9)/(Table!$AC$12-Table!$AC$13)),2)</f>
        <v>2959.7</v>
      </c>
      <c r="Q105" s="1">
        <f>'Raw Data'!C105</f>
        <v>1.3560000000000001</v>
      </c>
      <c r="R105" s="1">
        <f>'Raw Data'!C105/'Raw Data'!I$30*100</f>
        <v>12.424535019823589</v>
      </c>
      <c r="S105" s="128">
        <f t="shared" si="7"/>
        <v>0.11833333333333301</v>
      </c>
      <c r="T105" s="128">
        <f t="shared" si="8"/>
        <v>1.326919056259257E-4</v>
      </c>
      <c r="U105" s="5">
        <f t="shared" si="9"/>
        <v>3.3510034653992703E-3</v>
      </c>
      <c r="V105" s="5">
        <f t="shared" si="10"/>
        <v>2.6064152776835641E-2</v>
      </c>
      <c r="W105" s="5">
        <f t="shared" si="11"/>
        <v>9.0389858753542223E-6</v>
      </c>
      <c r="X105" s="104">
        <f t="shared" si="12"/>
        <v>0.29437222045999917</v>
      </c>
      <c r="Z105" s="42"/>
      <c r="AS105" s="61"/>
      <c r="AT105" s="61"/>
    </row>
    <row r="106" spans="1:46" x14ac:dyDescent="0.2">
      <c r="A106" s="1">
        <v>4058.08740234375</v>
      </c>
      <c r="B106" s="42">
        <v>0.86928934010152292</v>
      </c>
      <c r="C106" s="42">
        <f t="shared" si="1"/>
        <v>0.13071065989847708</v>
      </c>
      <c r="D106" s="72">
        <f t="shared" si="2"/>
        <v>8.8832487309645769E-3</v>
      </c>
      <c r="E106" s="126">
        <f>(2*Table!$AC$16*0.147)/A106</f>
        <v>2.2585783936607231E-2</v>
      </c>
      <c r="F106" s="126">
        <f t="shared" si="3"/>
        <v>4.5171567873214462E-2</v>
      </c>
      <c r="G106" s="1">
        <f>IF((('Raw Data'!C106)/('Raw Data'!C$136)*100)&lt;0,0,('Raw Data'!C106)/('Raw Data'!C$136)*100)</f>
        <v>86.92893401015229</v>
      </c>
      <c r="H106" s="1">
        <f t="shared" si="4"/>
        <v>0.88832487309645103</v>
      </c>
      <c r="I106" s="83">
        <f t="shared" si="5"/>
        <v>3.9216128989178589E-2</v>
      </c>
      <c r="J106" s="126">
        <f>'Raw Data'!F106/I106</f>
        <v>0.22652028540134203</v>
      </c>
      <c r="K106" s="123">
        <f t="shared" si="6"/>
        <v>7.2819252931050817</v>
      </c>
      <c r="L106" s="1">
        <f>A106*Table!$AC$9/$AC$16</f>
        <v>911.1926359413967</v>
      </c>
      <c r="M106" s="1">
        <f>A106*Table!$AD$9/$AC$16</f>
        <v>312.40890375133603</v>
      </c>
      <c r="N106" s="1">
        <f>ABS(A106*Table!$AE$9/$AC$16)</f>
        <v>394.55798523327758</v>
      </c>
      <c r="O106" s="1">
        <f>($L106*(Table!$AC$10/Table!$AC$9)/(Table!$AC$12-Table!$AC$14))</f>
        <v>1954.5101586044548</v>
      </c>
      <c r="P106" s="1">
        <f>ROUND(($N106*(Table!$AE$10/Table!$AE$9)/(Table!$AC$12-Table!$AC$13)),2)</f>
        <v>3239.39</v>
      </c>
      <c r="Q106" s="1">
        <f>'Raw Data'!C106</f>
        <v>1.37</v>
      </c>
      <c r="R106" s="1">
        <f>'Raw Data'!C106/'Raw Data'!I$30*100</f>
        <v>12.552811930057755</v>
      </c>
      <c r="S106" s="128">
        <f t="shared" si="7"/>
        <v>0.11666666666666806</v>
      </c>
      <c r="T106" s="128">
        <f t="shared" si="8"/>
        <v>1.0742379985784201E-4</v>
      </c>
      <c r="U106" s="5">
        <f t="shared" si="9"/>
        <v>3.0932827919891211E-3</v>
      </c>
      <c r="V106" s="5">
        <f t="shared" si="10"/>
        <v>2.2765253072934002E-2</v>
      </c>
      <c r="W106" s="5">
        <f t="shared" si="11"/>
        <v>7.4392155254537066E-6</v>
      </c>
      <c r="X106" s="104">
        <f t="shared" si="12"/>
        <v>0.2943796596755246</v>
      </c>
      <c r="Z106" s="42"/>
      <c r="AS106" s="61"/>
      <c r="AT106" s="61"/>
    </row>
    <row r="107" spans="1:46" x14ac:dyDescent="0.2">
      <c r="A107" s="1">
        <v>4436.46484375</v>
      </c>
      <c r="B107" s="42">
        <v>0.87823604060913707</v>
      </c>
      <c r="C107" s="42">
        <f t="shared" si="1"/>
        <v>0.12176395939086293</v>
      </c>
      <c r="D107" s="72">
        <f t="shared" si="2"/>
        <v>8.946700507614147E-3</v>
      </c>
      <c r="E107" s="126">
        <f>(2*Table!$AC$16*0.147)/A107</f>
        <v>2.0659486436441714E-2</v>
      </c>
      <c r="F107" s="126">
        <f t="shared" si="3"/>
        <v>4.1318972872883428E-2</v>
      </c>
      <c r="G107" s="1">
        <f>IF((('Raw Data'!C107)/('Raw Data'!C$136)*100)&lt;0,0,('Raw Data'!C107)/('Raw Data'!C$136)*100)</f>
        <v>87.823604060913709</v>
      </c>
      <c r="H107" s="1">
        <f t="shared" si="4"/>
        <v>0.89467005076141959</v>
      </c>
      <c r="I107" s="83">
        <f t="shared" si="5"/>
        <v>3.8715647799328456E-2</v>
      </c>
      <c r="J107" s="126">
        <f>'Raw Data'!F107/I107</f>
        <v>0.23108745471564426</v>
      </c>
      <c r="K107" s="123">
        <f t="shared" si="6"/>
        <v>7.9608944694035593</v>
      </c>
      <c r="L107" s="1">
        <f>A107*Table!$AC$9/$AC$16</f>
        <v>996.1525453845984</v>
      </c>
      <c r="M107" s="1">
        <f>A107*Table!$AD$9/$AC$16</f>
        <v>341.53801556043373</v>
      </c>
      <c r="N107" s="1">
        <f>ABS(A107*Table!$AE$9/$AC$16)</f>
        <v>431.34670517379664</v>
      </c>
      <c r="O107" s="1">
        <f>($L107*(Table!$AC$10/Table!$AC$9)/(Table!$AC$12-Table!$AC$14))</f>
        <v>2136.7493465993107</v>
      </c>
      <c r="P107" s="1">
        <f>ROUND(($N107*(Table!$AE$10/Table!$AE$9)/(Table!$AC$12-Table!$AC$13)),2)</f>
        <v>3541.43</v>
      </c>
      <c r="Q107" s="1">
        <f>'Raw Data'!C107</f>
        <v>1.3841000000000001</v>
      </c>
      <c r="R107" s="1">
        <f>'Raw Data'!C107/'Raw Data'!I$30*100</f>
        <v>12.682005103936453</v>
      </c>
      <c r="S107" s="128">
        <f t="shared" si="7"/>
        <v>0.11749999999999908</v>
      </c>
      <c r="T107" s="128">
        <f t="shared" si="8"/>
        <v>8.6131014927381955E-5</v>
      </c>
      <c r="U107" s="5">
        <f t="shared" si="9"/>
        <v>2.8585834781949416E-3</v>
      </c>
      <c r="V107" s="5">
        <f t="shared" si="10"/>
        <v>1.9921591595288727E-2</v>
      </c>
      <c r="W107" s="5">
        <f t="shared" si="11"/>
        <v>6.2688362035697636E-6</v>
      </c>
      <c r="X107" s="104">
        <f t="shared" si="12"/>
        <v>0.29438592851172818</v>
      </c>
      <c r="Z107" s="42"/>
      <c r="AS107" s="61"/>
      <c r="AT107" s="61"/>
    </row>
    <row r="108" spans="1:46" x14ac:dyDescent="0.2">
      <c r="A108" s="1">
        <v>4846.52734375</v>
      </c>
      <c r="B108" s="42">
        <v>0.886738578680203</v>
      </c>
      <c r="C108" s="42">
        <f t="shared" si="1"/>
        <v>0.113261421319797</v>
      </c>
      <c r="D108" s="72">
        <f t="shared" si="2"/>
        <v>8.5025380710659348E-3</v>
      </c>
      <c r="E108" s="126">
        <f>(2*Table!$AC$16*0.147)/A108</f>
        <v>1.8911496575666799E-2</v>
      </c>
      <c r="F108" s="126">
        <f t="shared" si="3"/>
        <v>3.7822993151333598E-2</v>
      </c>
      <c r="G108" s="1">
        <f>IF((('Raw Data'!C108)/('Raw Data'!C$136)*100)&lt;0,0,('Raw Data'!C108)/('Raw Data'!C$136)*100)</f>
        <v>88.673857868020306</v>
      </c>
      <c r="H108" s="1">
        <f t="shared" si="4"/>
        <v>0.85025380710659704</v>
      </c>
      <c r="I108" s="83">
        <f t="shared" si="5"/>
        <v>3.8393622985236853E-2</v>
      </c>
      <c r="J108" s="126">
        <f>'Raw Data'!F108/I108</f>
        <v>0.22145703921547955</v>
      </c>
      <c r="K108" s="123">
        <f t="shared" si="6"/>
        <v>8.6967200429925633</v>
      </c>
      <c r="L108" s="1">
        <f>A108*Table!$AC$9/$AC$16</f>
        <v>1088.2269373900342</v>
      </c>
      <c r="M108" s="1">
        <f>A108*Table!$AD$9/$AC$16</f>
        <v>373.106378533726</v>
      </c>
      <c r="N108" s="1">
        <f>ABS(A108*Table!$AE$9/$AC$16)</f>
        <v>471.21608643115366</v>
      </c>
      <c r="O108" s="1">
        <f>($L108*(Table!$AC$10/Table!$AC$9)/(Table!$AC$12-Table!$AC$14))</f>
        <v>2334.2491149507387</v>
      </c>
      <c r="P108" s="1">
        <f>ROUND(($N108*(Table!$AE$10/Table!$AE$9)/(Table!$AC$12-Table!$AC$13)),2)</f>
        <v>3868.77</v>
      </c>
      <c r="Q108" s="1">
        <f>'Raw Data'!C108</f>
        <v>1.3975</v>
      </c>
      <c r="R108" s="1">
        <f>'Raw Data'!C108/'Raw Data'!I$30*100</f>
        <v>12.804784432303439</v>
      </c>
      <c r="S108" s="128">
        <f t="shared" si="7"/>
        <v>0.1116666666666659</v>
      </c>
      <c r="T108" s="128">
        <f t="shared" si="8"/>
        <v>6.9174722131193356E-5</v>
      </c>
      <c r="U108" s="5">
        <f t="shared" si="9"/>
        <v>2.6420534795529985E-3</v>
      </c>
      <c r="V108" s="5">
        <f t="shared" si="10"/>
        <v>1.7437175892957846E-2</v>
      </c>
      <c r="W108" s="5">
        <f t="shared" si="11"/>
        <v>4.9921239756265539E-6</v>
      </c>
      <c r="X108" s="104">
        <f t="shared" si="12"/>
        <v>0.29439092063570382</v>
      </c>
      <c r="Z108" s="42"/>
      <c r="AS108" s="61"/>
      <c r="AT108" s="61"/>
    </row>
    <row r="109" spans="1:46" x14ac:dyDescent="0.2">
      <c r="A109" s="1">
        <v>5306.3515625</v>
      </c>
      <c r="B109" s="42">
        <v>0.89511421319796958</v>
      </c>
      <c r="C109" s="42">
        <f t="shared" si="1"/>
        <v>0.10488578680203042</v>
      </c>
      <c r="D109" s="72">
        <f t="shared" si="2"/>
        <v>8.3756345177665725E-3</v>
      </c>
      <c r="E109" s="126">
        <f>(2*Table!$AC$16*0.147)/A109</f>
        <v>1.7272712556953514E-2</v>
      </c>
      <c r="F109" s="126">
        <f t="shared" si="3"/>
        <v>3.4545425113907027E-2</v>
      </c>
      <c r="G109" s="1">
        <f>IF((('Raw Data'!C109)/('Raw Data'!C$136)*100)&lt;0,0,('Raw Data'!C109)/('Raw Data'!C$136)*100)</f>
        <v>89.511421319796952</v>
      </c>
      <c r="H109" s="1">
        <f t="shared" si="4"/>
        <v>0.83756345177664571</v>
      </c>
      <c r="I109" s="83">
        <f t="shared" si="5"/>
        <v>3.9365352638787376E-2</v>
      </c>
      <c r="J109" s="126">
        <f>'Raw Data'!F109/I109</f>
        <v>0.2127666578938229</v>
      </c>
      <c r="K109" s="123">
        <f t="shared" si="6"/>
        <v>9.5218391882736721</v>
      </c>
      <c r="L109" s="1">
        <f>A109*Table!$AC$9/$AC$16</f>
        <v>1191.4746993062804</v>
      </c>
      <c r="M109" s="1">
        <f>A109*Table!$AD$9/$AC$16</f>
        <v>408.50561119072472</v>
      </c>
      <c r="N109" s="1">
        <f>ABS(A109*Table!$AE$9/$AC$16)</f>
        <v>515.9236787828321</v>
      </c>
      <c r="O109" s="1">
        <f>($L109*(Table!$AC$10/Table!$AC$9)/(Table!$AC$12-Table!$AC$14))</f>
        <v>2555.7157857277575</v>
      </c>
      <c r="P109" s="1">
        <f>ROUND(($N109*(Table!$AE$10/Table!$AE$9)/(Table!$AC$12-Table!$AC$13)),2)</f>
        <v>4235.83</v>
      </c>
      <c r="Q109" s="1">
        <f>'Raw Data'!C109</f>
        <v>1.4107000000000001</v>
      </c>
      <c r="R109" s="1">
        <f>'Raw Data'!C109/'Raw Data'!I$30*100</f>
        <v>12.925731233381368</v>
      </c>
      <c r="S109" s="128">
        <f t="shared" si="7"/>
        <v>0.11000000000000093</v>
      </c>
      <c r="T109" s="128">
        <f t="shared" si="8"/>
        <v>5.524092975972561E-5</v>
      </c>
      <c r="U109" s="5">
        <f t="shared" si="9"/>
        <v>2.4358980141322606E-3</v>
      </c>
      <c r="V109" s="5">
        <f t="shared" si="10"/>
        <v>1.5198944742627186E-2</v>
      </c>
      <c r="W109" s="5">
        <f t="shared" si="11"/>
        <v>4.102265737283204E-6</v>
      </c>
      <c r="X109" s="104">
        <f t="shared" si="12"/>
        <v>0.29439502290144109</v>
      </c>
      <c r="Z109" s="42"/>
      <c r="AS109" s="61"/>
      <c r="AT109" s="61"/>
    </row>
    <row r="110" spans="1:46" x14ac:dyDescent="0.2">
      <c r="A110" s="1">
        <v>5806.3779296875</v>
      </c>
      <c r="B110" s="42">
        <v>0.9031725888324873</v>
      </c>
      <c r="C110" s="42">
        <f t="shared" si="1"/>
        <v>9.68274111675127E-2</v>
      </c>
      <c r="D110" s="72">
        <f t="shared" si="2"/>
        <v>8.0583756345177227E-3</v>
      </c>
      <c r="E110" s="126">
        <f>(2*Table!$AC$16*0.147)/A110</f>
        <v>1.5785242775290125E-2</v>
      </c>
      <c r="F110" s="126">
        <f t="shared" si="3"/>
        <v>3.157048555058025E-2</v>
      </c>
      <c r="G110" s="1">
        <f>IF((('Raw Data'!C110)/('Raw Data'!C$136)*100)&lt;0,0,('Raw Data'!C110)/('Raw Data'!C$136)*100)</f>
        <v>90.317258883248726</v>
      </c>
      <c r="H110" s="1">
        <f t="shared" si="4"/>
        <v>0.80583756345177449</v>
      </c>
      <c r="I110" s="83">
        <f t="shared" si="5"/>
        <v>3.9109280109622002E-2</v>
      </c>
      <c r="J110" s="126">
        <f>'Raw Data'!F110/I110</f>
        <v>0.20604765958182727</v>
      </c>
      <c r="K110" s="123">
        <f t="shared" si="6"/>
        <v>10.419097992590986</v>
      </c>
      <c r="L110" s="1">
        <f>A110*Table!$AC$9/$AC$16</f>
        <v>1303.749349501009</v>
      </c>
      <c r="M110" s="1">
        <f>A110*Table!$AD$9/$AC$16</f>
        <v>446.99977697177445</v>
      </c>
      <c r="N110" s="1">
        <f>ABS(A110*Table!$AE$9/$AC$16)</f>
        <v>564.54002841765521</v>
      </c>
      <c r="O110" s="1">
        <f>($L110*(Table!$AC$10/Table!$AC$9)/(Table!$AC$12-Table!$AC$14))</f>
        <v>2796.545151224816</v>
      </c>
      <c r="P110" s="1">
        <f>ROUND(($N110*(Table!$AE$10/Table!$AE$9)/(Table!$AC$12-Table!$AC$13)),2)</f>
        <v>4634.9799999999996</v>
      </c>
      <c r="Q110" s="1">
        <f>'Raw Data'!C110</f>
        <v>1.4234</v>
      </c>
      <c r="R110" s="1">
        <f>'Raw Data'!C110/'Raw Data'!I$30*100</f>
        <v>13.042096716236648</v>
      </c>
      <c r="S110" s="128">
        <f t="shared" si="7"/>
        <v>0.10583333333333271</v>
      </c>
      <c r="T110" s="128">
        <f t="shared" si="8"/>
        <v>4.4044474105664477E-5</v>
      </c>
      <c r="U110" s="5">
        <f t="shared" si="9"/>
        <v>2.2461673825180332E-3</v>
      </c>
      <c r="V110" s="5">
        <f t="shared" si="10"/>
        <v>1.3251392400584537E-2</v>
      </c>
      <c r="W110" s="5">
        <f t="shared" si="11"/>
        <v>3.2963629128443382E-6</v>
      </c>
      <c r="X110" s="104">
        <f t="shared" si="12"/>
        <v>0.29439831926435395</v>
      </c>
      <c r="Z110" s="42"/>
      <c r="AS110" s="61"/>
      <c r="AT110" s="61"/>
    </row>
    <row r="111" spans="1:46" x14ac:dyDescent="0.2">
      <c r="A111" s="1">
        <v>6356.22265625</v>
      </c>
      <c r="B111" s="42">
        <v>0.9113578680203045</v>
      </c>
      <c r="C111" s="42">
        <f t="shared" si="1"/>
        <v>8.8642131979695504E-2</v>
      </c>
      <c r="D111" s="72">
        <f t="shared" si="2"/>
        <v>8.185279187817196E-3</v>
      </c>
      <c r="E111" s="126">
        <f>(2*Table!$AC$16*0.147)/A111</f>
        <v>1.4419741129596876E-2</v>
      </c>
      <c r="F111" s="126">
        <f t="shared" si="3"/>
        <v>2.8839482259193753E-2</v>
      </c>
      <c r="G111" s="1">
        <f>IF((('Raw Data'!C111)/('Raw Data'!C$136)*100)&lt;0,0,('Raw Data'!C111)/('Raw Data'!C$136)*100)</f>
        <v>91.135786802030452</v>
      </c>
      <c r="H111" s="1">
        <f t="shared" si="4"/>
        <v>0.81852791878172582</v>
      </c>
      <c r="I111" s="83">
        <f t="shared" si="5"/>
        <v>3.9293801899064063E-2</v>
      </c>
      <c r="J111" s="126">
        <f>'Raw Data'!F111/I111</f>
        <v>0.20830967715577964</v>
      </c>
      <c r="K111" s="123">
        <f t="shared" si="6"/>
        <v>11.405752005839554</v>
      </c>
      <c r="L111" s="1">
        <f>A111*Table!$AC$9/$AC$16</f>
        <v>1427.2100875485926</v>
      </c>
      <c r="M111" s="1">
        <f>A111*Table!$AD$9/$AC$16</f>
        <v>489.32917287380315</v>
      </c>
      <c r="N111" s="1">
        <f>ABS(A111*Table!$AE$9/$AC$16)</f>
        <v>618.00009617724697</v>
      </c>
      <c r="O111" s="1">
        <f>($L111*(Table!$AC$10/Table!$AC$9)/(Table!$AC$12-Table!$AC$14))</f>
        <v>3061.3686991604304</v>
      </c>
      <c r="P111" s="1">
        <f>ROUND(($N111*(Table!$AE$10/Table!$AE$9)/(Table!$AC$12-Table!$AC$13)),2)</f>
        <v>5073.8900000000003</v>
      </c>
      <c r="Q111" s="1">
        <f>'Raw Data'!C111</f>
        <v>1.4362999999999999</v>
      </c>
      <c r="R111" s="1">
        <f>'Raw Data'!C111/'Raw Data'!I$30*100</f>
        <v>13.160294726380986</v>
      </c>
      <c r="S111" s="128">
        <f t="shared" si="7"/>
        <v>0.10749999999999912</v>
      </c>
      <c r="T111" s="128">
        <f t="shared" si="8"/>
        <v>3.4554195768921048E-5</v>
      </c>
      <c r="U111" s="5">
        <f t="shared" si="9"/>
        <v>2.0704584213142095E-3</v>
      </c>
      <c r="V111" s="5">
        <f t="shared" si="10"/>
        <v>1.1546260989378677E-2</v>
      </c>
      <c r="W111" s="5">
        <f t="shared" si="11"/>
        <v>2.7940450539116257E-6</v>
      </c>
      <c r="X111" s="104">
        <f t="shared" si="12"/>
        <v>0.29440111330940788</v>
      </c>
      <c r="Z111" s="42"/>
      <c r="AS111" s="61"/>
      <c r="AT111" s="61"/>
    </row>
    <row r="112" spans="1:46" x14ac:dyDescent="0.2">
      <c r="A112" s="1">
        <v>6946.83740234375</v>
      </c>
      <c r="B112" s="42">
        <v>0.91897208121827401</v>
      </c>
      <c r="C112" s="42">
        <f t="shared" si="1"/>
        <v>8.1027918781725994E-2</v>
      </c>
      <c r="D112" s="72">
        <f t="shared" si="2"/>
        <v>7.6142131979695105E-3</v>
      </c>
      <c r="E112" s="126">
        <f>(2*Table!$AC$16*0.147)/A112</f>
        <v>1.3193785885110929E-2</v>
      </c>
      <c r="F112" s="126">
        <f t="shared" si="3"/>
        <v>2.6387571770221857E-2</v>
      </c>
      <c r="G112" s="1">
        <f>IF((('Raw Data'!C112)/('Raw Data'!C$136)*100)&lt;0,0,('Raw Data'!C112)/('Raw Data'!C$136)*100)</f>
        <v>91.897208121827404</v>
      </c>
      <c r="H112" s="1">
        <f t="shared" si="4"/>
        <v>0.76142131979695193</v>
      </c>
      <c r="I112" s="83">
        <f t="shared" si="5"/>
        <v>3.8588031912758947E-2</v>
      </c>
      <c r="J112" s="126">
        <f>'Raw Data'!F112/I112</f>
        <v>0.19732058932634777</v>
      </c>
      <c r="K112" s="123">
        <f t="shared" si="6"/>
        <v>12.465564679065118</v>
      </c>
      <c r="L112" s="1">
        <f>A112*Table!$AC$9/$AC$16</f>
        <v>1559.8252222073991</v>
      </c>
      <c r="M112" s="1">
        <f>A112*Table!$AD$9/$AC$16</f>
        <v>534.79721904253677</v>
      </c>
      <c r="N112" s="1">
        <f>ABS(A112*Table!$AE$9/$AC$16)</f>
        <v>675.42413394765731</v>
      </c>
      <c r="O112" s="1">
        <f>($L112*(Table!$AC$10/Table!$AC$9)/(Table!$AC$12-Table!$AC$14))</f>
        <v>3345.8284474633192</v>
      </c>
      <c r="P112" s="1">
        <f>ROUND(($N112*(Table!$AE$10/Table!$AE$9)/(Table!$AC$12-Table!$AC$13)),2)</f>
        <v>5545.35</v>
      </c>
      <c r="Q112" s="1">
        <f>'Raw Data'!C112</f>
        <v>1.4482999999999999</v>
      </c>
      <c r="R112" s="1">
        <f>'Raw Data'!C112/'Raw Data'!I$30*100</f>
        <v>13.270246363724558</v>
      </c>
      <c r="S112" s="128">
        <f t="shared" si="7"/>
        <v>9.999999999999952E-2</v>
      </c>
      <c r="T112" s="128">
        <f t="shared" si="8"/>
        <v>2.7163345197367406E-5</v>
      </c>
      <c r="U112" s="5">
        <f t="shared" si="9"/>
        <v>1.9102572285983536E-3</v>
      </c>
      <c r="V112" s="5">
        <f t="shared" si="10"/>
        <v>1.0076256562995401E-2</v>
      </c>
      <c r="W112" s="5">
        <f t="shared" si="11"/>
        <v>2.1759498247768941E-6</v>
      </c>
      <c r="X112" s="104">
        <f t="shared" si="12"/>
        <v>0.29440328925923265</v>
      </c>
      <c r="Z112" s="42"/>
      <c r="AS112" s="61"/>
      <c r="AT112" s="61"/>
    </row>
    <row r="113" spans="1:46" x14ac:dyDescent="0.2">
      <c r="A113" s="1">
        <v>7605.79052734375</v>
      </c>
      <c r="B113" s="42">
        <v>0.92582487309644668</v>
      </c>
      <c r="C113" s="42">
        <f t="shared" si="1"/>
        <v>7.4175126903553323E-2</v>
      </c>
      <c r="D113" s="72">
        <f t="shared" si="2"/>
        <v>6.8527918781726704E-3</v>
      </c>
      <c r="E113" s="126">
        <f>(2*Table!$AC$16*0.147)/A113</f>
        <v>1.2050698074801346E-2</v>
      </c>
      <c r="F113" s="126">
        <f t="shared" si="3"/>
        <v>2.4101396149602692E-2</v>
      </c>
      <c r="G113" s="1">
        <f>IF((('Raw Data'!C113)/('Raw Data'!C$136)*100)&lt;0,0,('Raw Data'!C113)/('Raw Data'!C$136)*100)</f>
        <v>92.582487309644662</v>
      </c>
      <c r="H113" s="1">
        <f t="shared" si="4"/>
        <v>0.68527918781725816</v>
      </c>
      <c r="I113" s="83">
        <f t="shared" si="5"/>
        <v>3.9357226347842111E-2</v>
      </c>
      <c r="J113" s="126">
        <f>'Raw Data'!F113/I113</f>
        <v>0.17411775457973544</v>
      </c>
      <c r="K113" s="123">
        <f t="shared" si="6"/>
        <v>13.648005309874794</v>
      </c>
      <c r="L113" s="1">
        <f>A113*Table!$AC$9/$AC$16</f>
        <v>1707.784882855366</v>
      </c>
      <c r="M113" s="1">
        <f>A113*Table!$AD$9/$AC$16</f>
        <v>585.5262455504112</v>
      </c>
      <c r="N113" s="1">
        <f>ABS(A113*Table!$AE$9/$AC$16)</f>
        <v>739.49254637588933</v>
      </c>
      <c r="O113" s="1">
        <f>($L113*(Table!$AC$10/Table!$AC$9)/(Table!$AC$12-Table!$AC$14))</f>
        <v>3663.2022369269971</v>
      </c>
      <c r="P113" s="1">
        <f>ROUND(($N113*(Table!$AE$10/Table!$AE$9)/(Table!$AC$12-Table!$AC$13)),2)</f>
        <v>6071.37</v>
      </c>
      <c r="Q113" s="1">
        <f>'Raw Data'!C113</f>
        <v>1.4591000000000001</v>
      </c>
      <c r="R113" s="1">
        <f>'Raw Data'!C113/'Raw Data'!I$30*100</f>
        <v>13.369202837333773</v>
      </c>
      <c r="S113" s="128">
        <f t="shared" si="7"/>
        <v>9.0000000000001038E-2</v>
      </c>
      <c r="T113" s="128">
        <f t="shared" si="8"/>
        <v>2.161424612678875E-5</v>
      </c>
      <c r="U113" s="5">
        <f t="shared" si="9"/>
        <v>1.7577663740895636E-3</v>
      </c>
      <c r="V113" s="5">
        <f t="shared" si="10"/>
        <v>8.7539125557335E-3</v>
      </c>
      <c r="W113" s="5">
        <f t="shared" si="11"/>
        <v>1.6337173960127535E-6</v>
      </c>
      <c r="X113" s="104">
        <f t="shared" si="12"/>
        <v>0.29440492297662868</v>
      </c>
      <c r="Z113" s="42"/>
      <c r="AS113" s="61"/>
      <c r="AT113" s="61"/>
    </row>
    <row r="114" spans="1:46" x14ac:dyDescent="0.2">
      <c r="A114" s="1">
        <v>8316.5625</v>
      </c>
      <c r="B114" s="42">
        <v>0.93305837563451766</v>
      </c>
      <c r="C114" s="42">
        <f t="shared" si="1"/>
        <v>6.6941624365482344E-2</v>
      </c>
      <c r="D114" s="72">
        <f t="shared" si="2"/>
        <v>7.2335025380709794E-3</v>
      </c>
      <c r="E114" s="126">
        <f>(2*Table!$AC$16*0.147)/A114</f>
        <v>1.1020789570835743E-2</v>
      </c>
      <c r="F114" s="126">
        <f t="shared" si="3"/>
        <v>2.2041579141671486E-2</v>
      </c>
      <c r="G114" s="1">
        <f>IF((('Raw Data'!C114)/('Raw Data'!C$136)*100)&lt;0,0,('Raw Data'!C114)/('Raw Data'!C$136)*100)</f>
        <v>93.30583756345176</v>
      </c>
      <c r="H114" s="1">
        <f t="shared" si="4"/>
        <v>0.72335025380709794</v>
      </c>
      <c r="I114" s="83">
        <f t="shared" si="5"/>
        <v>3.8799495399772788E-2</v>
      </c>
      <c r="J114" s="126">
        <f>'Raw Data'!F114/I114</f>
        <v>0.18643290237515148</v>
      </c>
      <c r="K114" s="123">
        <f t="shared" si="6"/>
        <v>14.923430871760536</v>
      </c>
      <c r="L114" s="1">
        <f>A114*Table!$AC$9/$AC$16</f>
        <v>1867.3798159127132</v>
      </c>
      <c r="M114" s="1">
        <f>A114*Table!$AD$9/$AC$16</f>
        <v>640.24450831293018</v>
      </c>
      <c r="N114" s="1">
        <f>ABS(A114*Table!$AE$9/$AC$16)</f>
        <v>808.5991795473592</v>
      </c>
      <c r="O114" s="1">
        <f>($L114*(Table!$AC$10/Table!$AC$9)/(Table!$AC$12-Table!$AC$14))</f>
        <v>4005.5337106664811</v>
      </c>
      <c r="P114" s="1">
        <f>ROUND(($N114*(Table!$AE$10/Table!$AE$9)/(Table!$AC$12-Table!$AC$13)),2)</f>
        <v>6638.75</v>
      </c>
      <c r="Q114" s="1">
        <f>'Raw Data'!C114</f>
        <v>1.4704999999999999</v>
      </c>
      <c r="R114" s="1">
        <f>'Raw Data'!C114/'Raw Data'!I$30*100</f>
        <v>13.473656892810165</v>
      </c>
      <c r="S114" s="128">
        <f t="shared" si="7"/>
        <v>9.4999999999998821E-2</v>
      </c>
      <c r="T114" s="128">
        <f t="shared" si="8"/>
        <v>1.6715278342016582E-5</v>
      </c>
      <c r="U114" s="5">
        <f t="shared" si="9"/>
        <v>1.6200992769320455E-3</v>
      </c>
      <c r="V114" s="5">
        <f t="shared" si="10"/>
        <v>7.6261929465923613E-3</v>
      </c>
      <c r="W114" s="5">
        <f t="shared" si="11"/>
        <v>1.4423114078301045E-6</v>
      </c>
      <c r="X114" s="104">
        <f t="shared" si="12"/>
        <v>0.29440636528803649</v>
      </c>
      <c r="Z114" s="42"/>
      <c r="AS114" s="61"/>
      <c r="AT114" s="61"/>
    </row>
    <row r="115" spans="1:46" x14ac:dyDescent="0.2">
      <c r="A115" s="1">
        <v>9095.9248046875</v>
      </c>
      <c r="B115" s="42">
        <v>0.93959390862944148</v>
      </c>
      <c r="C115" s="42">
        <f t="shared" si="1"/>
        <v>6.0406091370558523E-2</v>
      </c>
      <c r="D115" s="72">
        <f t="shared" si="2"/>
        <v>6.5355329949238206E-3</v>
      </c>
      <c r="E115" s="126">
        <f>(2*Table!$AC$16*0.147)/A115</f>
        <v>1.0076499886847135E-2</v>
      </c>
      <c r="F115" s="126">
        <f t="shared" si="3"/>
        <v>2.015299977369427E-2</v>
      </c>
      <c r="G115" s="1">
        <f>IF((('Raw Data'!C115)/('Raw Data'!C$136)*100)&lt;0,0,('Raw Data'!C115)/('Raw Data'!C$136)*100)</f>
        <v>93.959390862944147</v>
      </c>
      <c r="H115" s="1">
        <f t="shared" si="4"/>
        <v>0.65355329949238694</v>
      </c>
      <c r="I115" s="83">
        <f t="shared" si="5"/>
        <v>3.8903005769820087E-2</v>
      </c>
      <c r="J115" s="126">
        <f>'Raw Data'!F115/I115</f>
        <v>0.16799557940568985</v>
      </c>
      <c r="K115" s="123">
        <f t="shared" si="6"/>
        <v>16.321936501707992</v>
      </c>
      <c r="L115" s="1">
        <f>A115*Table!$AC$9/$AC$16</f>
        <v>2042.375847873833</v>
      </c>
      <c r="M115" s="1">
        <f>A115*Table!$AD$9/$AC$16</f>
        <v>700.24314784245701</v>
      </c>
      <c r="N115" s="1">
        <f>ABS(A115*Table!$AE$9/$AC$16)</f>
        <v>884.37468416726085</v>
      </c>
      <c r="O115" s="1">
        <f>($L115*(Table!$AC$10/Table!$AC$9)/(Table!$AC$12-Table!$AC$14))</f>
        <v>4380.9005745899467</v>
      </c>
      <c r="P115" s="1">
        <f>ROUND(($N115*(Table!$AE$10/Table!$AE$9)/(Table!$AC$12-Table!$AC$13)),2)</f>
        <v>7260.88</v>
      </c>
      <c r="Q115" s="1">
        <f>'Raw Data'!C115</f>
        <v>1.4807999999999999</v>
      </c>
      <c r="R115" s="1">
        <f>'Raw Data'!C115/'Raw Data'!I$30*100</f>
        <v>13.568032048196732</v>
      </c>
      <c r="S115" s="128">
        <f t="shared" si="7"/>
        <v>8.5833333333332804E-2</v>
      </c>
      <c r="T115" s="128">
        <f t="shared" si="8"/>
        <v>1.3015029380558651E-5</v>
      </c>
      <c r="U115" s="5">
        <f t="shared" si="9"/>
        <v>1.4916605336495936E-3</v>
      </c>
      <c r="V115" s="5">
        <f t="shared" si="10"/>
        <v>6.6320663821303324E-3</v>
      </c>
      <c r="W115" s="5">
        <f t="shared" si="11"/>
        <v>1.0893950569658185E-6</v>
      </c>
      <c r="X115" s="104">
        <f t="shared" si="12"/>
        <v>0.29440745468309343</v>
      </c>
      <c r="Z115" s="42"/>
      <c r="AS115" s="61"/>
      <c r="AT115" s="61"/>
    </row>
    <row r="116" spans="1:46" x14ac:dyDescent="0.2">
      <c r="A116" s="1">
        <v>9956.8349609375</v>
      </c>
      <c r="B116" s="42">
        <v>0.94574873096446688</v>
      </c>
      <c r="C116" s="42">
        <f t="shared" si="1"/>
        <v>5.4251269035533123E-2</v>
      </c>
      <c r="D116" s="72">
        <f t="shared" si="2"/>
        <v>6.1548223350254005E-3</v>
      </c>
      <c r="E116" s="126">
        <f>(2*Table!$AC$16*0.147)/A116</f>
        <v>9.2052429938613463E-3</v>
      </c>
      <c r="F116" s="126">
        <f t="shared" si="3"/>
        <v>1.8410485987722693E-2</v>
      </c>
      <c r="G116" s="1">
        <f>IF((('Raw Data'!C116)/('Raw Data'!C$136)*100)&lt;0,0,('Raw Data'!C116)/('Raw Data'!C$136)*100)</f>
        <v>94.574873096446694</v>
      </c>
      <c r="H116" s="1">
        <f t="shared" si="4"/>
        <v>0.61548223350254716</v>
      </c>
      <c r="I116" s="83">
        <f t="shared" si="5"/>
        <v>3.9274447144247659E-2</v>
      </c>
      <c r="J116" s="126">
        <f>'Raw Data'!F116/I116</f>
        <v>0.15671315021749116</v>
      </c>
      <c r="K116" s="123">
        <f t="shared" si="6"/>
        <v>17.866773470538977</v>
      </c>
      <c r="L116" s="1">
        <f>A116*Table!$AC$9/$AC$16</f>
        <v>2235.6824272563017</v>
      </c>
      <c r="M116" s="1">
        <f>A116*Table!$AD$9/$AC$16</f>
        <v>766.5196893450177</v>
      </c>
      <c r="N116" s="1">
        <f>ABS(A116*Table!$AE$9/$AC$16)</f>
        <v>968.07888839920633</v>
      </c>
      <c r="O116" s="1">
        <f>($L116*(Table!$AC$10/Table!$AC$9)/(Table!$AC$12-Table!$AC$14))</f>
        <v>4795.5436020083698</v>
      </c>
      <c r="P116" s="1">
        <f>ROUND(($N116*(Table!$AE$10/Table!$AE$9)/(Table!$AC$12-Table!$AC$13)),2)</f>
        <v>7948.1</v>
      </c>
      <c r="Q116" s="1">
        <f>'Raw Data'!C116</f>
        <v>1.4904999999999999</v>
      </c>
      <c r="R116" s="1">
        <f>'Raw Data'!C116/'Raw Data'!I$30*100</f>
        <v>13.656909621716117</v>
      </c>
      <c r="S116" s="128">
        <f t="shared" si="7"/>
        <v>8.0833333333333562E-2</v>
      </c>
      <c r="T116" s="128">
        <f t="shared" si="8"/>
        <v>1.0106881005222945E-5</v>
      </c>
      <c r="U116" s="5">
        <f t="shared" si="9"/>
        <v>1.3716115286930728E-3</v>
      </c>
      <c r="V116" s="5">
        <f t="shared" si="10"/>
        <v>5.754806574699396E-3</v>
      </c>
      <c r="W116" s="5">
        <f t="shared" si="11"/>
        <v>8.5619170436200656E-7</v>
      </c>
      <c r="X116" s="104">
        <f t="shared" si="12"/>
        <v>0.2944083108747978</v>
      </c>
      <c r="Z116" s="42"/>
      <c r="AS116" s="61"/>
      <c r="AT116" s="61"/>
    </row>
    <row r="117" spans="1:46" x14ac:dyDescent="0.2">
      <c r="A117" s="1">
        <v>10895.72265625</v>
      </c>
      <c r="B117" s="42">
        <v>0.95152284263959386</v>
      </c>
      <c r="C117" s="42">
        <f t="shared" si="1"/>
        <v>4.8477157360406142E-2</v>
      </c>
      <c r="D117" s="72">
        <f t="shared" si="2"/>
        <v>5.7741116751269805E-3</v>
      </c>
      <c r="E117" s="126">
        <f>(2*Table!$AC$16*0.147)/A117</f>
        <v>8.4120244390241058E-3</v>
      </c>
      <c r="F117" s="126">
        <f t="shared" si="3"/>
        <v>1.6824048878048212E-2</v>
      </c>
      <c r="G117" s="1">
        <f>IF((('Raw Data'!C117)/('Raw Data'!C$136)*100)&lt;0,0,('Raw Data'!C117)/('Raw Data'!C$136)*100)</f>
        <v>95.152284263959388</v>
      </c>
      <c r="H117" s="1">
        <f t="shared" si="4"/>
        <v>0.57741116751269317</v>
      </c>
      <c r="I117" s="83">
        <f t="shared" si="5"/>
        <v>3.9134731457602712E-2</v>
      </c>
      <c r="J117" s="126">
        <f>'Raw Data'!F117/I117</f>
        <v>0.1475444307413343</v>
      </c>
      <c r="K117" s="123">
        <f t="shared" si="6"/>
        <v>19.551535127454638</v>
      </c>
      <c r="L117" s="1">
        <f>A117*Table!$AC$9/$AC$16</f>
        <v>2446.4978851615801</v>
      </c>
      <c r="M117" s="1">
        <f>A117*Table!$AD$9/$AC$16</f>
        <v>838.7992749125417</v>
      </c>
      <c r="N117" s="1">
        <f>ABS(A117*Table!$AE$9/$AC$16)</f>
        <v>1059.3646594274162</v>
      </c>
      <c r="O117" s="1">
        <f>($L117*(Table!$AC$10/Table!$AC$9)/(Table!$AC$12-Table!$AC$14))</f>
        <v>5247.7432114148014</v>
      </c>
      <c r="P117" s="1">
        <f>ROUND(($N117*(Table!$AE$10/Table!$AE$9)/(Table!$AC$12-Table!$AC$13)),2)</f>
        <v>8697.58</v>
      </c>
      <c r="Q117" s="1">
        <f>'Raw Data'!C117</f>
        <v>1.4996</v>
      </c>
      <c r="R117" s="1">
        <f>'Raw Data'!C117/'Raw Data'!I$30*100</f>
        <v>13.740289613368329</v>
      </c>
      <c r="S117" s="128">
        <f t="shared" si="7"/>
        <v>7.5833333333334307E-2</v>
      </c>
      <c r="T117" s="128">
        <f t="shared" si="8"/>
        <v>7.8285503387620636E-6</v>
      </c>
      <c r="U117" s="5">
        <f t="shared" si="9"/>
        <v>1.2610718946197324E-3</v>
      </c>
      <c r="V117" s="5">
        <f t="shared" si="10"/>
        <v>4.9925678587360136E-3</v>
      </c>
      <c r="W117" s="5">
        <f t="shared" si="11"/>
        <v>6.7076626248013714E-7</v>
      </c>
      <c r="X117" s="104">
        <f t="shared" si="12"/>
        <v>0.29440898164106027</v>
      </c>
      <c r="Z117" s="42"/>
      <c r="AS117" s="61"/>
      <c r="AT117" s="61"/>
    </row>
    <row r="118" spans="1:46" x14ac:dyDescent="0.2">
      <c r="A118" s="1">
        <v>11896.193359375</v>
      </c>
      <c r="B118" s="42">
        <v>0.95691624365482231</v>
      </c>
      <c r="C118" s="42">
        <f t="shared" si="1"/>
        <v>4.3083756345177693E-2</v>
      </c>
      <c r="D118" s="72">
        <f t="shared" si="2"/>
        <v>5.3934010152284495E-3</v>
      </c>
      <c r="E118" s="126">
        <f>(2*Table!$AC$16*0.147)/A118</f>
        <v>7.7045725885897167E-3</v>
      </c>
      <c r="F118" s="126">
        <f t="shared" si="3"/>
        <v>1.5409145177179433E-2</v>
      </c>
      <c r="G118" s="1">
        <f>IF((('Raw Data'!C118)/('Raw Data'!C$136)*100)&lt;0,0,('Raw Data'!C118)/('Raw Data'!C$136)*100)</f>
        <v>95.691624365482227</v>
      </c>
      <c r="H118" s="1">
        <f t="shared" si="4"/>
        <v>0.53934010152283918</v>
      </c>
      <c r="I118" s="83">
        <f t="shared" si="5"/>
        <v>3.8151974527215415E-2</v>
      </c>
      <c r="J118" s="126">
        <f>'Raw Data'!F118/I118</f>
        <v>0.14136623548490548</v>
      </c>
      <c r="K118" s="123">
        <f t="shared" si="6"/>
        <v>21.346802748819545</v>
      </c>
      <c r="L118" s="1">
        <f>A118*Table!$AC$9/$AC$16</f>
        <v>2671.1410351923319</v>
      </c>
      <c r="M118" s="1">
        <f>A118*Table!$AD$9/$AC$16</f>
        <v>915.81978349451379</v>
      </c>
      <c r="N118" s="1">
        <f>ABS(A118*Table!$AE$9/$AC$16)</f>
        <v>1156.6379967838116</v>
      </c>
      <c r="O118" s="1">
        <f>($L118*(Table!$AC$10/Table!$AC$9)/(Table!$AC$12-Table!$AC$14))</f>
        <v>5729.6032500908022</v>
      </c>
      <c r="P118" s="1">
        <f>ROUND(($N118*(Table!$AE$10/Table!$AE$9)/(Table!$AC$12-Table!$AC$13)),2)</f>
        <v>9496.2099999999991</v>
      </c>
      <c r="Q118" s="1">
        <f>'Raw Data'!C118</f>
        <v>1.5081</v>
      </c>
      <c r="R118" s="1">
        <f>'Raw Data'!C118/'Raw Data'!I$30*100</f>
        <v>13.818172023153357</v>
      </c>
      <c r="S118" s="128">
        <f t="shared" si="7"/>
        <v>7.0833333333333609E-2</v>
      </c>
      <c r="T118" s="128">
        <f t="shared" si="8"/>
        <v>6.0433361079859083E-6</v>
      </c>
      <c r="U118" s="5">
        <f t="shared" si="9"/>
        <v>1.1615624936243752E-3</v>
      </c>
      <c r="V118" s="5">
        <f t="shared" si="10"/>
        <v>4.3447010523280163E-3</v>
      </c>
      <c r="W118" s="5">
        <f t="shared" si="11"/>
        <v>5.2558721830126082E-7</v>
      </c>
      <c r="X118" s="104">
        <f t="shared" si="12"/>
        <v>0.29440950722827858</v>
      </c>
      <c r="Z118" s="42"/>
      <c r="AS118" s="61"/>
      <c r="AT118" s="61"/>
    </row>
    <row r="119" spans="1:46" x14ac:dyDescent="0.2">
      <c r="A119" s="1">
        <v>12996.3203125</v>
      </c>
      <c r="B119" s="42">
        <v>0.96224619289340096</v>
      </c>
      <c r="C119" s="42">
        <f t="shared" si="1"/>
        <v>3.7753807106599035E-2</v>
      </c>
      <c r="D119" s="72">
        <f t="shared" si="2"/>
        <v>5.3299492385786573E-3</v>
      </c>
      <c r="E119" s="126">
        <f>(2*Table!$AC$16*0.147)/A119</f>
        <v>7.05238737283574E-3</v>
      </c>
      <c r="F119" s="126">
        <f t="shared" si="3"/>
        <v>1.410477474567148E-2</v>
      </c>
      <c r="G119" s="1">
        <f>IF((('Raw Data'!C119)/('Raw Data'!C$136)*100)&lt;0,0,('Raw Data'!C119)/('Raw Data'!C$136)*100)</f>
        <v>96.224619289340097</v>
      </c>
      <c r="H119" s="1">
        <f t="shared" si="4"/>
        <v>0.53299492385787062</v>
      </c>
      <c r="I119" s="83">
        <f t="shared" si="5"/>
        <v>3.8412392055649391E-2</v>
      </c>
      <c r="J119" s="126">
        <f>'Raw Data'!F119/I119</f>
        <v>0.13875598350805571</v>
      </c>
      <c r="K119" s="123">
        <f t="shared" si="6"/>
        <v>23.320895835370809</v>
      </c>
      <c r="L119" s="1">
        <f>A119*Table!$AC$9/$AC$16</f>
        <v>2918.160746426051</v>
      </c>
      <c r="M119" s="1">
        <f>A119*Table!$AD$9/$AC$16</f>
        <v>1000.5122559175032</v>
      </c>
      <c r="N119" s="1">
        <f>ABS(A119*Table!$AE$9/$AC$16)</f>
        <v>1263.60066936576</v>
      </c>
      <c r="O119" s="1">
        <f>($L119*(Table!$AC$10/Table!$AC$9)/(Table!$AC$12-Table!$AC$14))</f>
        <v>6259.4610605449407</v>
      </c>
      <c r="P119" s="1">
        <f>ROUND(($N119*(Table!$AE$10/Table!$AE$9)/(Table!$AC$12-Table!$AC$13)),2)</f>
        <v>10374.39</v>
      </c>
      <c r="Q119" s="1">
        <f>'Raw Data'!C119</f>
        <v>1.5165</v>
      </c>
      <c r="R119" s="1">
        <f>'Raw Data'!C119/'Raw Data'!I$30*100</f>
        <v>13.895138169293858</v>
      </c>
      <c r="S119" s="128">
        <f t="shared" si="7"/>
        <v>6.9999999999999674E-2</v>
      </c>
      <c r="T119" s="128">
        <f t="shared" si="8"/>
        <v>4.5651608918673148E-6</v>
      </c>
      <c r="U119" s="5">
        <f t="shared" si="9"/>
        <v>1.069159410908745E-3</v>
      </c>
      <c r="V119" s="5">
        <f t="shared" si="10"/>
        <v>3.7764496664754563E-3</v>
      </c>
      <c r="W119" s="5">
        <f t="shared" si="11"/>
        <v>4.3519146699466162E-7</v>
      </c>
      <c r="X119" s="104">
        <f t="shared" si="12"/>
        <v>0.29440994241974555</v>
      </c>
      <c r="Z119" s="42"/>
      <c r="AS119" s="61"/>
      <c r="AT119" s="61"/>
    </row>
    <row r="120" spans="1:46" x14ac:dyDescent="0.2">
      <c r="A120" s="1">
        <v>14295.740234375</v>
      </c>
      <c r="B120" s="42">
        <v>0.96751269035532983</v>
      </c>
      <c r="C120" s="42">
        <f t="shared" si="1"/>
        <v>3.248730964467017E-2</v>
      </c>
      <c r="D120" s="72">
        <f t="shared" si="2"/>
        <v>5.2664974619288651E-3</v>
      </c>
      <c r="E120" s="126">
        <f>(2*Table!$AC$16*0.147)/A120</f>
        <v>6.4113563734750348E-3</v>
      </c>
      <c r="F120" s="126">
        <f t="shared" si="3"/>
        <v>1.282271274695007E-2</v>
      </c>
      <c r="G120" s="1">
        <f>IF((('Raw Data'!C120)/('Raw Data'!C$136)*100)&lt;0,0,('Raw Data'!C120)/('Raw Data'!C$136)*100)</f>
        <v>96.751269035532985</v>
      </c>
      <c r="H120" s="1">
        <f t="shared" si="4"/>
        <v>0.52664974619288785</v>
      </c>
      <c r="I120" s="83">
        <f t="shared" si="5"/>
        <v>4.1386241473167384E-2</v>
      </c>
      <c r="J120" s="126">
        <f>'Raw Data'!F120/I120</f>
        <v>0.12725237360206723</v>
      </c>
      <c r="K120" s="123">
        <f t="shared" si="6"/>
        <v>25.652604804970935</v>
      </c>
      <c r="L120" s="1">
        <f>A120*Table!$AC$9/$AC$16</f>
        <v>3209.9291945684477</v>
      </c>
      <c r="M120" s="1">
        <f>A120*Table!$AD$9/$AC$16</f>
        <v>1100.5471524234677</v>
      </c>
      <c r="N120" s="1">
        <f>ABS(A120*Table!$AE$9/$AC$16)</f>
        <v>1389.940113422799</v>
      </c>
      <c r="O120" s="1">
        <f>($L120*(Table!$AC$10/Table!$AC$9)/(Table!$AC$12-Table!$AC$14))</f>
        <v>6885.3050076543286</v>
      </c>
      <c r="P120" s="1">
        <f>ROUND(($N120*(Table!$AE$10/Table!$AE$9)/(Table!$AC$12-Table!$AC$13)),2)</f>
        <v>11411.66</v>
      </c>
      <c r="Q120" s="1">
        <f>'Raw Data'!C120</f>
        <v>1.5247999999999999</v>
      </c>
      <c r="R120" s="1">
        <f>'Raw Data'!C120/'Raw Data'!I$30*100</f>
        <v>13.971188051789825</v>
      </c>
      <c r="S120" s="128">
        <f t="shared" si="7"/>
        <v>6.9166666666665738E-2</v>
      </c>
      <c r="T120" s="128">
        <f t="shared" si="8"/>
        <v>3.358035904899026E-6</v>
      </c>
      <c r="U120" s="5">
        <f t="shared" si="9"/>
        <v>9.7729728036014744E-4</v>
      </c>
      <c r="V120" s="5">
        <f t="shared" si="10"/>
        <v>3.244203054295514E-3</v>
      </c>
      <c r="W120" s="5">
        <f t="shared" si="11"/>
        <v>3.5539122036030906E-7</v>
      </c>
      <c r="X120" s="104">
        <f t="shared" si="12"/>
        <v>0.29441029781096589</v>
      </c>
      <c r="Z120" s="42"/>
      <c r="AS120" s="61"/>
      <c r="AT120" s="61"/>
    </row>
    <row r="121" spans="1:46" x14ac:dyDescent="0.2">
      <c r="A121" s="1">
        <v>15595.3330078125</v>
      </c>
      <c r="B121" s="42">
        <v>0.97201776649746197</v>
      </c>
      <c r="C121" s="42">
        <f t="shared" si="1"/>
        <v>2.7982233502538034E-2</v>
      </c>
      <c r="D121" s="72">
        <f t="shared" si="2"/>
        <v>4.5050761421321361E-3</v>
      </c>
      <c r="E121" s="126">
        <f>(2*Table!$AC$16*0.147)/A121</f>
        <v>5.8770842032862597E-3</v>
      </c>
      <c r="F121" s="126">
        <f t="shared" si="3"/>
        <v>1.1754168406572519E-2</v>
      </c>
      <c r="G121" s="1">
        <f>IF((('Raw Data'!C121)/('Raw Data'!C$136)*100)&lt;0,0,('Raw Data'!C121)/('Raw Data'!C$136)*100)</f>
        <v>97.201776649746193</v>
      </c>
      <c r="H121" s="1">
        <f t="shared" si="4"/>
        <v>0.45050761421320829</v>
      </c>
      <c r="I121" s="83">
        <f t="shared" si="5"/>
        <v>3.7788004627574256E-2</v>
      </c>
      <c r="J121" s="126">
        <f>'Raw Data'!F121/I121</f>
        <v>0.11921974146379617</v>
      </c>
      <c r="K121" s="123">
        <f t="shared" si="6"/>
        <v>27.984623943387085</v>
      </c>
      <c r="L121" s="1">
        <f>A121*Table!$AC$9/$AC$16</f>
        <v>3501.7364543615663</v>
      </c>
      <c r="M121" s="1">
        <f>A121*Table!$AD$9/$AC$16</f>
        <v>1200.5953557811085</v>
      </c>
      <c r="N121" s="1">
        <f>ABS(A121*Table!$AE$9/$AC$16)</f>
        <v>1516.2963634175821</v>
      </c>
      <c r="O121" s="1">
        <f>($L121*(Table!$AC$10/Table!$AC$9)/(Table!$AC$12-Table!$AC$14))</f>
        <v>7511.2322058377667</v>
      </c>
      <c r="P121" s="1">
        <f>ROUND(($N121*(Table!$AE$10/Table!$AE$9)/(Table!$AC$12-Table!$AC$13)),2)</f>
        <v>12449.07</v>
      </c>
      <c r="Q121" s="1">
        <f>'Raw Data'!C121</f>
        <v>1.5319</v>
      </c>
      <c r="R121" s="1">
        <f>'Raw Data'!C121/'Raw Data'!I$30*100</f>
        <v>14.036242770551441</v>
      </c>
      <c r="S121" s="128">
        <f t="shared" si="7"/>
        <v>5.9166666666668692E-2</v>
      </c>
      <c r="T121" s="128">
        <f t="shared" si="8"/>
        <v>2.490362098872545E-6</v>
      </c>
      <c r="U121" s="5">
        <f t="shared" si="9"/>
        <v>9.0002841000701747E-4</v>
      </c>
      <c r="V121" s="5">
        <f t="shared" si="10"/>
        <v>2.8224103828088463E-3</v>
      </c>
      <c r="W121" s="5">
        <f t="shared" si="11"/>
        <v>2.5545296145924826E-7</v>
      </c>
      <c r="X121" s="104">
        <f t="shared" si="12"/>
        <v>0.29441055326392734</v>
      </c>
      <c r="Z121" s="42"/>
      <c r="AS121" s="61"/>
      <c r="AT121" s="61"/>
    </row>
    <row r="122" spans="1:46" x14ac:dyDescent="0.2">
      <c r="A122" s="1">
        <v>17095.1953125</v>
      </c>
      <c r="B122" s="42">
        <v>0.97601522842639588</v>
      </c>
      <c r="C122" s="42">
        <f t="shared" si="1"/>
        <v>2.3984771573604124E-2</v>
      </c>
      <c r="D122" s="72">
        <f t="shared" si="2"/>
        <v>3.9974619289339097E-3</v>
      </c>
      <c r="E122" s="126">
        <f>(2*Table!$AC$16*0.147)/A122</f>
        <v>5.3614529456814967E-3</v>
      </c>
      <c r="F122" s="126">
        <f t="shared" si="3"/>
        <v>1.0722905891362993E-2</v>
      </c>
      <c r="G122" s="1">
        <f>IF((('Raw Data'!C122)/('Raw Data'!C$136)*100)&lt;0,0,('Raw Data'!C122)/('Raw Data'!C$136)*100)</f>
        <v>97.601522842639582</v>
      </c>
      <c r="H122" s="1">
        <f t="shared" si="4"/>
        <v>0.39974619289338875</v>
      </c>
      <c r="I122" s="83">
        <f t="shared" si="5"/>
        <v>3.9879414271895897E-2</v>
      </c>
      <c r="J122" s="126">
        <f>'Raw Data'!F122/I122</f>
        <v>0.10023873223612087</v>
      </c>
      <c r="K122" s="123">
        <f t="shared" si="6"/>
        <v>30.676011331044347</v>
      </c>
      <c r="L122" s="1">
        <f>A122*Table!$AC$9/$AC$16</f>
        <v>3838.5117259262015</v>
      </c>
      <c r="M122" s="1">
        <f>A122*Table!$AD$9/$AC$16</f>
        <v>1316.0611631746976</v>
      </c>
      <c r="N122" s="1">
        <f>ABS(A122*Table!$AE$9/$AC$16)</f>
        <v>1662.1243336882708</v>
      </c>
      <c r="O122" s="1">
        <f>($L122*(Table!$AC$10/Table!$AC$9)/(Table!$AC$12-Table!$AC$14))</f>
        <v>8233.6158857275896</v>
      </c>
      <c r="P122" s="1">
        <f>ROUND(($N122*(Table!$AE$10/Table!$AE$9)/(Table!$AC$12-Table!$AC$13)),2)</f>
        <v>13646.34</v>
      </c>
      <c r="Q122" s="1">
        <f>'Raw Data'!C122</f>
        <v>1.5382</v>
      </c>
      <c r="R122" s="1">
        <f>'Raw Data'!C122/'Raw Data'!I$30*100</f>
        <v>14.093967380156815</v>
      </c>
      <c r="S122" s="128">
        <f t="shared" si="7"/>
        <v>5.2499999999998659E-2</v>
      </c>
      <c r="T122" s="128">
        <f t="shared" si="8"/>
        <v>1.8496250168142936E-6</v>
      </c>
      <c r="U122" s="5">
        <f t="shared" si="9"/>
        <v>8.2444026654970783E-4</v>
      </c>
      <c r="V122" s="5">
        <f t="shared" si="10"/>
        <v>2.4333136619354573E-3</v>
      </c>
      <c r="W122" s="5">
        <f t="shared" si="11"/>
        <v>1.8864022858246168E-7</v>
      </c>
      <c r="X122" s="104">
        <f t="shared" si="12"/>
        <v>0.29441074190415595</v>
      </c>
      <c r="Z122" s="42"/>
      <c r="AS122" s="61"/>
      <c r="AT122" s="61"/>
    </row>
    <row r="123" spans="1:46" x14ac:dyDescent="0.2">
      <c r="A123" s="1">
        <v>18694.45703125</v>
      </c>
      <c r="B123" s="42">
        <v>0.97963197969543148</v>
      </c>
      <c r="C123" s="42">
        <f t="shared" si="1"/>
        <v>2.0368020304568524E-2</v>
      </c>
      <c r="D123" s="72">
        <f t="shared" si="2"/>
        <v>3.6167512690356007E-3</v>
      </c>
      <c r="E123" s="126">
        <f>(2*Table!$AC$16*0.147)/A123</f>
        <v>4.9027947220928268E-3</v>
      </c>
      <c r="F123" s="126">
        <f t="shared" si="3"/>
        <v>9.8055894441856535E-3</v>
      </c>
      <c r="G123" s="1">
        <f>IF((('Raw Data'!C123)/('Raw Data'!C$136)*100)&lt;0,0,('Raw Data'!C123)/('Raw Data'!C$136)*100)</f>
        <v>97.963197969543145</v>
      </c>
      <c r="H123" s="1">
        <f t="shared" si="4"/>
        <v>0.36167512690356318</v>
      </c>
      <c r="I123" s="83">
        <f t="shared" si="5"/>
        <v>3.8838788890549036E-2</v>
      </c>
      <c r="J123" s="126">
        <f>'Raw Data'!F123/I123</f>
        <v>9.3122143412553593E-2</v>
      </c>
      <c r="K123" s="123">
        <f t="shared" si="6"/>
        <v>33.5457633115794</v>
      </c>
      <c r="L123" s="1">
        <f>A123*Table!$AC$9/$AC$16</f>
        <v>4197.6058894048774</v>
      </c>
      <c r="M123" s="1">
        <f>A123*Table!$AD$9/$AC$16</f>
        <v>1439.1791620816723</v>
      </c>
      <c r="N123" s="1">
        <f>ABS(A123*Table!$AE$9/$AC$16)</f>
        <v>1817.6166676498985</v>
      </c>
      <c r="O123" s="1">
        <f>($L123*(Table!$AC$10/Table!$AC$9)/(Table!$AC$12-Table!$AC$14))</f>
        <v>9003.8736366471003</v>
      </c>
      <c r="P123" s="1">
        <f>ROUND(($N123*(Table!$AE$10/Table!$AE$9)/(Table!$AC$12-Table!$AC$13)),2)</f>
        <v>14922.96</v>
      </c>
      <c r="Q123" s="1">
        <f>'Raw Data'!C123</f>
        <v>1.5439000000000001</v>
      </c>
      <c r="R123" s="1">
        <f>'Raw Data'!C123/'Raw Data'!I$30*100</f>
        <v>14.146194407895013</v>
      </c>
      <c r="S123" s="128">
        <f t="shared" si="7"/>
        <v>4.7500000000000868E-2</v>
      </c>
      <c r="T123" s="128">
        <f t="shared" si="8"/>
        <v>1.3648540660993191E-6</v>
      </c>
      <c r="U123" s="5">
        <f t="shared" si="9"/>
        <v>7.5670528350986466E-4</v>
      </c>
      <c r="V123" s="5">
        <f t="shared" si="10"/>
        <v>2.1049319373638823E-3</v>
      </c>
      <c r="W123" s="5">
        <f t="shared" si="11"/>
        <v>1.4272203926645394E-7</v>
      </c>
      <c r="X123" s="104">
        <f t="shared" si="12"/>
        <v>0.29441088462619519</v>
      </c>
      <c r="Z123" s="42"/>
      <c r="AS123" s="61"/>
      <c r="AT123" s="61"/>
    </row>
    <row r="124" spans="1:46" x14ac:dyDescent="0.2">
      <c r="A124" s="1">
        <v>20392.5</v>
      </c>
      <c r="B124" s="42">
        <v>0.98280456852791875</v>
      </c>
      <c r="C124" s="42">
        <f t="shared" si="1"/>
        <v>1.7195431472081246E-2</v>
      </c>
      <c r="D124" s="72">
        <f t="shared" si="2"/>
        <v>3.1725888324872775E-3</v>
      </c>
      <c r="E124" s="126">
        <f>(2*Table!$AC$16*0.147)/A124</f>
        <v>4.4945487441561179E-3</v>
      </c>
      <c r="F124" s="126">
        <f t="shared" si="3"/>
        <v>8.9890974883122358E-3</v>
      </c>
      <c r="G124" s="1">
        <f>IF((('Raw Data'!C124)/('Raw Data'!C$136)*100)&lt;0,0,('Raw Data'!C124)/('Raw Data'!C$136)*100)</f>
        <v>98.280456852791872</v>
      </c>
      <c r="H124" s="1">
        <f t="shared" si="4"/>
        <v>0.31725888324872642</v>
      </c>
      <c r="I124" s="83">
        <f t="shared" si="5"/>
        <v>3.7757615115941778E-2</v>
      </c>
      <c r="J124" s="126">
        <f>'Raw Data'!F124/I124</f>
        <v>8.4025138313033113E-2</v>
      </c>
      <c r="K124" s="123">
        <f t="shared" si="6"/>
        <v>36.592770637192558</v>
      </c>
      <c r="L124" s="1">
        <f>A124*Table!$AC$9/$AC$16</f>
        <v>4578.8801438094169</v>
      </c>
      <c r="M124" s="1">
        <f>A124*Table!$AD$9/$AC$16</f>
        <v>1569.9017635918001</v>
      </c>
      <c r="N124" s="1">
        <f>ABS(A124*Table!$AE$9/$AC$16)</f>
        <v>1982.7132627115495</v>
      </c>
      <c r="O124" s="1">
        <f>($L124*(Table!$AC$10/Table!$AC$9)/(Table!$AC$12-Table!$AC$14))</f>
        <v>9821.7077301789304</v>
      </c>
      <c r="P124" s="1">
        <f>ROUND(($N124*(Table!$AE$10/Table!$AE$9)/(Table!$AC$12-Table!$AC$13)),2)</f>
        <v>16278.43</v>
      </c>
      <c r="Q124" s="1">
        <f>'Raw Data'!C124</f>
        <v>1.5488999999999999</v>
      </c>
      <c r="R124" s="1">
        <f>'Raw Data'!C124/'Raw Data'!I$30*100</f>
        <v>14.1920075901215</v>
      </c>
      <c r="S124" s="128">
        <f t="shared" si="7"/>
        <v>4.1666666666666227E-2</v>
      </c>
      <c r="T124" s="128">
        <f t="shared" si="8"/>
        <v>1.007485371240513E-6</v>
      </c>
      <c r="U124" s="5">
        <f t="shared" si="9"/>
        <v>6.9594250779068283E-4</v>
      </c>
      <c r="V124" s="5">
        <f t="shared" si="10"/>
        <v>1.8271089872261858E-3</v>
      </c>
      <c r="W124" s="5">
        <f t="shared" si="11"/>
        <v>1.0521337715414126E-7</v>
      </c>
      <c r="X124" s="104">
        <f t="shared" si="12"/>
        <v>0.29441098983957237</v>
      </c>
      <c r="Z124" s="42"/>
      <c r="AS124" s="61"/>
      <c r="AT124" s="61"/>
    </row>
    <row r="125" spans="1:46" x14ac:dyDescent="0.2">
      <c r="A125" s="1">
        <v>22294.265625</v>
      </c>
      <c r="B125" s="42">
        <v>0.98578680203045688</v>
      </c>
      <c r="C125" s="42">
        <f t="shared" si="1"/>
        <v>1.4213197969543123E-2</v>
      </c>
      <c r="D125" s="72">
        <f t="shared" si="2"/>
        <v>2.982233502538123E-3</v>
      </c>
      <c r="E125" s="126">
        <f>(2*Table!$AC$16*0.147)/A125</f>
        <v>4.1111506791425712E-3</v>
      </c>
      <c r="F125" s="126">
        <f t="shared" si="3"/>
        <v>8.2223013582851424E-3</v>
      </c>
      <c r="G125" s="1">
        <f>IF((('Raw Data'!C125)/('Raw Data'!C$136)*100)&lt;0,0,('Raw Data'!C125)/('Raw Data'!C$136)*100)</f>
        <v>98.578680203045693</v>
      </c>
      <c r="H125" s="1">
        <f t="shared" si="4"/>
        <v>0.29822335025382074</v>
      </c>
      <c r="I125" s="83">
        <f t="shared" si="5"/>
        <v>3.8722700244978814E-2</v>
      </c>
      <c r="J125" s="126">
        <f>'Raw Data'!F125/I125</f>
        <v>7.7015122490710866E-2</v>
      </c>
      <c r="K125" s="123">
        <f t="shared" si="6"/>
        <v>40.005342578902606</v>
      </c>
      <c r="L125" s="1">
        <f>A125*Table!$AC$9/$AC$16</f>
        <v>5005.8977659004704</v>
      </c>
      <c r="M125" s="1">
        <f>A125*Table!$AD$9/$AC$16</f>
        <v>1716.3078054515897</v>
      </c>
      <c r="N125" s="1">
        <f>ABS(A125*Table!$AE$9/$AC$16)</f>
        <v>2167.6173170087873</v>
      </c>
      <c r="O125" s="1">
        <f>($L125*(Table!$AC$10/Table!$AC$9)/(Table!$AC$12-Table!$AC$14))</f>
        <v>10737.661445517955</v>
      </c>
      <c r="P125" s="1">
        <f>ROUND(($N125*(Table!$AE$10/Table!$AE$9)/(Table!$AC$12-Table!$AC$13)),2)</f>
        <v>17796.53</v>
      </c>
      <c r="Q125" s="1">
        <f>'Raw Data'!C125</f>
        <v>1.5536000000000001</v>
      </c>
      <c r="R125" s="1">
        <f>'Raw Data'!C125/'Raw Data'!I$30*100</f>
        <v>14.235071981414402</v>
      </c>
      <c r="S125" s="128">
        <f t="shared" si="7"/>
        <v>3.9166666666667328E-2</v>
      </c>
      <c r="T125" s="128">
        <f t="shared" si="8"/>
        <v>7.2642542492395989E-7</v>
      </c>
      <c r="U125" s="5">
        <f t="shared" si="9"/>
        <v>6.3850822542688721E-4</v>
      </c>
      <c r="V125" s="5">
        <f t="shared" si="10"/>
        <v>1.579462942766466E-3</v>
      </c>
      <c r="W125" s="5">
        <f t="shared" si="11"/>
        <v>8.274722037613452E-8</v>
      </c>
      <c r="X125" s="104">
        <f t="shared" si="12"/>
        <v>0.29441107258679272</v>
      </c>
      <c r="Z125" s="42"/>
      <c r="AS125" s="61"/>
      <c r="AT125" s="61"/>
    </row>
    <row r="126" spans="1:46" x14ac:dyDescent="0.2">
      <c r="A126" s="1">
        <v>24394.923828125</v>
      </c>
      <c r="B126" s="42">
        <v>0.98851522842639594</v>
      </c>
      <c r="C126" s="42">
        <f t="shared" si="1"/>
        <v>1.1484771573604058E-2</v>
      </c>
      <c r="D126" s="72">
        <f t="shared" si="2"/>
        <v>2.7284263959390653E-3</v>
      </c>
      <c r="E126" s="126">
        <f>(2*Table!$AC$16*0.147)/A126</f>
        <v>3.7571375877605384E-3</v>
      </c>
      <c r="F126" s="126">
        <f t="shared" si="3"/>
        <v>7.5142751755210768E-3</v>
      </c>
      <c r="G126" s="1">
        <f>IF((('Raw Data'!C126)/('Raw Data'!C$136)*100)&lt;0,0,('Raw Data'!C126)/('Raw Data'!C$136)*100)</f>
        <v>98.851522842639596</v>
      </c>
      <c r="H126" s="1">
        <f t="shared" si="4"/>
        <v>0.27284263959390387</v>
      </c>
      <c r="I126" s="83">
        <f t="shared" si="5"/>
        <v>3.9106295164395455E-2</v>
      </c>
      <c r="J126" s="126">
        <f>'Raw Data'!F126/I126</f>
        <v>6.9769493235533511E-2</v>
      </c>
      <c r="K126" s="123">
        <f t="shared" si="6"/>
        <v>43.774811933522692</v>
      </c>
      <c r="L126" s="1">
        <f>A126*Table!$AC$9/$AC$16</f>
        <v>5477.5742222064373</v>
      </c>
      <c r="M126" s="1">
        <f>A126*Table!$AD$9/$AC$16</f>
        <v>1878.0254476136356</v>
      </c>
      <c r="N126" s="1">
        <f>ABS(A126*Table!$AE$9/$AC$16)</f>
        <v>2371.859213772781</v>
      </c>
      <c r="O126" s="1">
        <f>($L126*(Table!$AC$10/Table!$AC$9)/(Table!$AC$12-Table!$AC$14))</f>
        <v>11749.408456041267</v>
      </c>
      <c r="P126" s="1">
        <f>ROUND(($N126*(Table!$AE$10/Table!$AE$9)/(Table!$AC$12-Table!$AC$13)),2)</f>
        <v>19473.39</v>
      </c>
      <c r="Q126" s="1">
        <f>'Raw Data'!C126</f>
        <v>1.5579000000000001</v>
      </c>
      <c r="R126" s="1">
        <f>'Raw Data'!C126/'Raw Data'!I$30*100</f>
        <v>14.274471318129182</v>
      </c>
      <c r="S126" s="128">
        <f t="shared" si="7"/>
        <v>3.5833333333333044E-2</v>
      </c>
      <c r="T126" s="128">
        <f t="shared" si="8"/>
        <v>5.1166365910848555E-7</v>
      </c>
      <c r="U126" s="5">
        <f t="shared" si="9"/>
        <v>5.8514104896167333E-4</v>
      </c>
      <c r="V126" s="5">
        <f t="shared" si="10"/>
        <v>1.36273218325666E-3</v>
      </c>
      <c r="W126" s="5">
        <f t="shared" si="11"/>
        <v>6.3228287780688269E-8</v>
      </c>
      <c r="X126" s="104">
        <f t="shared" si="12"/>
        <v>0.29441113581508049</v>
      </c>
      <c r="Z126" s="42"/>
      <c r="AS126" s="61"/>
      <c r="AT126" s="61"/>
    </row>
    <row r="127" spans="1:46" x14ac:dyDescent="0.2">
      <c r="A127" s="1">
        <v>26695.9296875</v>
      </c>
      <c r="B127" s="42">
        <v>0.99105329949238574</v>
      </c>
      <c r="C127" s="42">
        <f t="shared" si="1"/>
        <v>8.9467005076142581E-3</v>
      </c>
      <c r="D127" s="72">
        <f t="shared" si="2"/>
        <v>2.5380710659897998E-3</v>
      </c>
      <c r="E127" s="126">
        <f>(2*Table!$AC$16*0.147)/A127</f>
        <v>3.4332981221523017E-3</v>
      </c>
      <c r="F127" s="126">
        <f t="shared" si="3"/>
        <v>6.8665962443046034E-3</v>
      </c>
      <c r="G127" s="1">
        <f>IF((('Raw Data'!C127)/('Raw Data'!C$136)*100)&lt;0,0,('Raw Data'!C127)/('Raw Data'!C$136)*100)</f>
        <v>99.10532994923858</v>
      </c>
      <c r="H127" s="1">
        <f t="shared" si="4"/>
        <v>0.25380710659898398</v>
      </c>
      <c r="I127" s="83">
        <f t="shared" si="5"/>
        <v>3.9145583402491635E-2</v>
      </c>
      <c r="J127" s="126">
        <f>'Raw Data'!F127/I127</f>
        <v>6.4836715802484388E-2</v>
      </c>
      <c r="K127" s="123">
        <f t="shared" si="6"/>
        <v>47.903789726679271</v>
      </c>
      <c r="L127" s="1">
        <f>A127*Table!$AC$9/$AC$16</f>
        <v>5994.2362322729477</v>
      </c>
      <c r="M127" s="1">
        <f>A127*Table!$AD$9/$AC$16</f>
        <v>2055.1667082078675</v>
      </c>
      <c r="N127" s="1">
        <f>ABS(A127*Table!$AE$9/$AC$16)</f>
        <v>2595.5804267167459</v>
      </c>
      <c r="O127" s="1">
        <f>($L127*(Table!$AC$10/Table!$AC$9)/(Table!$AC$12-Table!$AC$14))</f>
        <v>12857.649575875052</v>
      </c>
      <c r="P127" s="1">
        <f>ROUND(($N127*(Table!$AE$10/Table!$AE$9)/(Table!$AC$12-Table!$AC$13)),2)</f>
        <v>21310.18</v>
      </c>
      <c r="Q127" s="1">
        <f>'Raw Data'!C127</f>
        <v>1.5619000000000001</v>
      </c>
      <c r="R127" s="1">
        <f>'Raw Data'!C127/'Raw Data'!I$30*100</f>
        <v>14.311121863910369</v>
      </c>
      <c r="S127" s="128">
        <f t="shared" si="7"/>
        <v>3.3333333333332688E-2</v>
      </c>
      <c r="T127" s="128">
        <f t="shared" si="8"/>
        <v>3.4484011801616532E-7</v>
      </c>
      <c r="U127" s="5">
        <f t="shared" si="9"/>
        <v>5.3607879670927337E-4</v>
      </c>
      <c r="V127" s="5">
        <f t="shared" si="10"/>
        <v>1.1751640822459622E-3</v>
      </c>
      <c r="W127" s="5">
        <f t="shared" si="11"/>
        <v>4.9114733314892887E-8</v>
      </c>
      <c r="X127" s="104">
        <f t="shared" si="12"/>
        <v>0.29441118492981383</v>
      </c>
      <c r="Z127" s="42"/>
      <c r="AS127" s="61"/>
      <c r="AT127" s="61"/>
    </row>
    <row r="128" spans="1:46" x14ac:dyDescent="0.2">
      <c r="A128" s="1">
        <v>29295.2578125</v>
      </c>
      <c r="B128" s="42">
        <v>0.99314720812182733</v>
      </c>
      <c r="C128" s="42">
        <f t="shared" si="1"/>
        <v>6.8527918781726704E-3</v>
      </c>
      <c r="D128" s="72">
        <f t="shared" si="2"/>
        <v>2.0939086294415876E-3</v>
      </c>
      <c r="E128" s="126">
        <f>(2*Table!$AC$16*0.147)/A128</f>
        <v>3.128666279430909E-3</v>
      </c>
      <c r="F128" s="126">
        <f t="shared" si="3"/>
        <v>6.2573325588618179E-3</v>
      </c>
      <c r="G128" s="1">
        <f>IF((('Raw Data'!C128)/('Raw Data'!C$136)*100)&lt;0,0,('Raw Data'!C128)/('Raw Data'!C$136)*100)</f>
        <v>99.314720812182728</v>
      </c>
      <c r="H128" s="1">
        <f t="shared" si="4"/>
        <v>0.20939086294414722</v>
      </c>
      <c r="I128" s="83">
        <f t="shared" si="5"/>
        <v>4.0352274571702651E-2</v>
      </c>
      <c r="J128" s="126">
        <f>'Raw Data'!F128/I128</f>
        <v>5.189072119641943E-2</v>
      </c>
      <c r="K128" s="123">
        <f t="shared" si="6"/>
        <v>52.568083848975647</v>
      </c>
      <c r="L128" s="1">
        <f>A128*Table!$AC$9/$AC$16</f>
        <v>6577.8827659891595</v>
      </c>
      <c r="M128" s="1">
        <f>A128*Table!$AD$9/$AC$16</f>
        <v>2255.2740911962833</v>
      </c>
      <c r="N128" s="1">
        <f>ABS(A128*Table!$AE$9/$AC$16)</f>
        <v>2848.3067892312315</v>
      </c>
      <c r="O128" s="1">
        <f>($L128*(Table!$AC$10/Table!$AC$9)/(Table!$AC$12-Table!$AC$14))</f>
        <v>14109.572642619391</v>
      </c>
      <c r="P128" s="1">
        <f>ROUND(($N128*(Table!$AE$10/Table!$AE$9)/(Table!$AC$12-Table!$AC$13)),2)</f>
        <v>23385.11</v>
      </c>
      <c r="Q128" s="1">
        <f>'Raw Data'!C128</f>
        <v>1.5651999999999999</v>
      </c>
      <c r="R128" s="1">
        <f>'Raw Data'!C128/'Raw Data'!I$30*100</f>
        <v>14.341358564179851</v>
      </c>
      <c r="S128" s="128">
        <f t="shared" si="7"/>
        <v>2.7499999999999504E-2</v>
      </c>
      <c r="T128" s="128">
        <f t="shared" si="8"/>
        <v>2.3055051223686007E-7</v>
      </c>
      <c r="U128" s="5">
        <f t="shared" si="9"/>
        <v>4.8954539522982226E-4</v>
      </c>
      <c r="V128" s="5">
        <f t="shared" si="10"/>
        <v>1.0078892374811919E-3</v>
      </c>
      <c r="W128" s="5">
        <f t="shared" si="11"/>
        <v>3.364814986516455E-8</v>
      </c>
      <c r="X128" s="104">
        <f t="shared" si="12"/>
        <v>0.29441121857796371</v>
      </c>
      <c r="Z128" s="42"/>
      <c r="AS128" s="61"/>
      <c r="AT128" s="61"/>
    </row>
    <row r="129" spans="1:46" x14ac:dyDescent="0.2">
      <c r="A129" s="1">
        <v>31990.033203125</v>
      </c>
      <c r="B129" s="42">
        <v>0.99498730964467008</v>
      </c>
      <c r="C129" s="42">
        <f t="shared" si="1"/>
        <v>5.0126903553299185E-3</v>
      </c>
      <c r="D129" s="72">
        <f t="shared" si="2"/>
        <v>1.840101522842752E-3</v>
      </c>
      <c r="E129" s="126">
        <f>(2*Table!$AC$16*0.147)/A129</f>
        <v>2.8651137897615611E-3</v>
      </c>
      <c r="F129" s="126">
        <f t="shared" si="3"/>
        <v>5.7302275795231223E-3</v>
      </c>
      <c r="G129" s="1">
        <f>IF((('Raw Data'!C129)/('Raw Data'!C$136)*100)&lt;0,0,('Raw Data'!C129)/('Raw Data'!C$136)*100)</f>
        <v>99.498730964467015</v>
      </c>
      <c r="H129" s="1">
        <f t="shared" si="4"/>
        <v>0.18401015228428719</v>
      </c>
      <c r="I129" s="83">
        <f t="shared" si="5"/>
        <v>3.8217366484904591E-2</v>
      </c>
      <c r="J129" s="126">
        <f>'Raw Data'!F129/I129</f>
        <v>4.8148307748247653E-2</v>
      </c>
      <c r="K129" s="123">
        <f t="shared" si="6"/>
        <v>57.403650738169794</v>
      </c>
      <c r="L129" s="1">
        <f>A129*Table!$AC$9/$AC$16</f>
        <v>7182.9607862495041</v>
      </c>
      <c r="M129" s="1">
        <f>A129*Table!$AD$9/$AC$16</f>
        <v>2462.7294124284017</v>
      </c>
      <c r="N129" s="1">
        <f>ABS(A129*Table!$AE$9/$AC$16)</f>
        <v>3110.3132576397579</v>
      </c>
      <c r="O129" s="1">
        <f>($L129*(Table!$AC$10/Table!$AC$9)/(Table!$AC$12-Table!$AC$14))</f>
        <v>15407.466293971482</v>
      </c>
      <c r="P129" s="1">
        <f>ROUND(($N129*(Table!$AE$10/Table!$AE$9)/(Table!$AC$12-Table!$AC$13)),2)</f>
        <v>25536.23</v>
      </c>
      <c r="Q129" s="1">
        <f>'Raw Data'!C129</f>
        <v>1.5681</v>
      </c>
      <c r="R129" s="1">
        <f>'Raw Data'!C129/'Raw Data'!I$30*100</f>
        <v>14.367930209871215</v>
      </c>
      <c r="S129" s="128">
        <f t="shared" si="7"/>
        <v>2.416666666666813E-2</v>
      </c>
      <c r="T129" s="128">
        <f t="shared" si="8"/>
        <v>1.4632259526248248E-7</v>
      </c>
      <c r="U129" s="5">
        <f t="shared" si="9"/>
        <v>4.4913770856816926E-4</v>
      </c>
      <c r="V129" s="5">
        <f t="shared" si="10"/>
        <v>8.712577660330218E-4</v>
      </c>
      <c r="W129" s="5">
        <f t="shared" si="11"/>
        <v>2.4797649356269604E-8</v>
      </c>
      <c r="X129" s="104">
        <f t="shared" si="12"/>
        <v>0.29441124337561309</v>
      </c>
      <c r="Z129" s="42"/>
      <c r="AS129" s="61"/>
      <c r="AT129" s="61"/>
    </row>
    <row r="130" spans="1:46" x14ac:dyDescent="0.2">
      <c r="A130" s="1">
        <v>34986.54296875</v>
      </c>
      <c r="B130" s="42">
        <v>0.99708121827411156</v>
      </c>
      <c r="C130" s="42">
        <f t="shared" si="1"/>
        <v>2.9187817258884419E-3</v>
      </c>
      <c r="D130" s="72">
        <f t="shared" si="2"/>
        <v>2.0939086294414766E-3</v>
      </c>
      <c r="E130" s="126">
        <f>(2*Table!$AC$16*0.147)/A130</f>
        <v>2.6197239706440847E-3</v>
      </c>
      <c r="F130" s="126">
        <f t="shared" si="3"/>
        <v>5.2394479412881693E-3</v>
      </c>
      <c r="G130" s="1">
        <f>IF((('Raw Data'!C130)/('Raw Data'!C$136)*100)&lt;0,0,('Raw Data'!C130)/('Raw Data'!C$136)*100)</f>
        <v>99.708121827411162</v>
      </c>
      <c r="H130" s="1">
        <f t="shared" si="4"/>
        <v>0.20939086294414722</v>
      </c>
      <c r="I130" s="83">
        <f t="shared" si="5"/>
        <v>3.8886340981657774E-2</v>
      </c>
      <c r="J130" s="126">
        <f>'Raw Data'!F130/I130</f>
        <v>5.384689267702375E-2</v>
      </c>
      <c r="K130" s="123">
        <f t="shared" si="6"/>
        <v>62.780656723979448</v>
      </c>
      <c r="L130" s="1">
        <f>A130*Table!$AC$9/$AC$16</f>
        <v>7855.7894765303099</v>
      </c>
      <c r="M130" s="1">
        <f>A130*Table!$AD$9/$AC$16</f>
        <v>2693.4135348103919</v>
      </c>
      <c r="N130" s="1">
        <f>ABS(A130*Table!$AE$9/$AC$16)</f>
        <v>3401.6566267288526</v>
      </c>
      <c r="O130" s="1">
        <f>($L130*(Table!$AC$10/Table!$AC$9)/(Table!$AC$12-Table!$AC$14))</f>
        <v>16850.685277842796</v>
      </c>
      <c r="P130" s="1">
        <f>ROUND(($N130*(Table!$AE$10/Table!$AE$9)/(Table!$AC$12-Table!$AC$13)),2)</f>
        <v>27928.22</v>
      </c>
      <c r="Q130" s="1">
        <f>'Raw Data'!C130</f>
        <v>1.5713999999999999</v>
      </c>
      <c r="R130" s="1">
        <f>'Raw Data'!C130/'Raw Data'!I$30*100</f>
        <v>14.398166910140697</v>
      </c>
      <c r="S130" s="128">
        <f t="shared" si="7"/>
        <v>2.7499999999998047E-2</v>
      </c>
      <c r="T130" s="128">
        <f t="shared" si="8"/>
        <v>6.6191824577011005E-8</v>
      </c>
      <c r="U130" s="5">
        <f t="shared" si="9"/>
        <v>4.115344269081157E-4</v>
      </c>
      <c r="V130" s="5">
        <f t="shared" si="10"/>
        <v>7.5150821519182976E-4</v>
      </c>
      <c r="W130" s="5">
        <f t="shared" si="11"/>
        <v>2.3591403283135604E-8</v>
      </c>
      <c r="X130" s="104">
        <f t="shared" si="12"/>
        <v>0.29441126696701636</v>
      </c>
      <c r="Z130" s="42"/>
      <c r="AS130" s="61"/>
      <c r="AT130" s="61"/>
    </row>
    <row r="131" spans="1:46" x14ac:dyDescent="0.2">
      <c r="A131" s="1">
        <v>38281.640625</v>
      </c>
      <c r="B131" s="42">
        <v>0.99708121827411156</v>
      </c>
      <c r="C131" s="42">
        <f t="shared" si="1"/>
        <v>2.9187817258884419E-3</v>
      </c>
      <c r="D131" s="72">
        <f t="shared" si="2"/>
        <v>0</v>
      </c>
      <c r="E131" s="126">
        <f>(2*Table!$AC$16*0.147)/A131</f>
        <v>2.3942308576333027E-3</v>
      </c>
      <c r="F131" s="126">
        <f t="shared" si="3"/>
        <v>4.7884617152666054E-3</v>
      </c>
      <c r="G131" s="1">
        <f>IF((('Raw Data'!C131)/('Raw Data'!C$136)*100)&lt;0,0,('Raw Data'!C131)/('Raw Data'!C$136)*100)</f>
        <v>99.708121827411162</v>
      </c>
      <c r="H131" s="1">
        <f t="shared" si="4"/>
        <v>0</v>
      </c>
      <c r="I131" s="83">
        <f t="shared" si="5"/>
        <v>3.9089510105050351E-2</v>
      </c>
      <c r="J131" s="126">
        <f>'Raw Data'!F131/I131</f>
        <v>0</v>
      </c>
      <c r="K131" s="123">
        <f t="shared" si="6"/>
        <v>68.69345568253317</v>
      </c>
      <c r="L131" s="1">
        <f>A131*Table!$AC$9/$AC$16</f>
        <v>8595.6623332235085</v>
      </c>
      <c r="M131" s="1">
        <f>A131*Table!$AD$9/$AC$16</f>
        <v>2947.0842285337744</v>
      </c>
      <c r="N131" s="1">
        <f>ABS(A131*Table!$AE$9/$AC$16)</f>
        <v>3722.0309714622899</v>
      </c>
      <c r="O131" s="1">
        <f>($L131*(Table!$AC$10/Table!$AC$9)/(Table!$AC$12-Table!$AC$14))</f>
        <v>18437.71414247857</v>
      </c>
      <c r="P131" s="1">
        <f>ROUND(($N131*(Table!$AE$10/Table!$AE$9)/(Table!$AC$12-Table!$AC$13)),2)</f>
        <v>30558.55</v>
      </c>
      <c r="Q131" s="1">
        <f>'Raw Data'!C131</f>
        <v>1.5713999999999999</v>
      </c>
      <c r="R131" s="1">
        <f>'Raw Data'!C131/'Raw Data'!I$30*100</f>
        <v>14.398166910140697</v>
      </c>
      <c r="S131" s="128">
        <f t="shared" si="7"/>
        <v>0</v>
      </c>
      <c r="T131" s="128">
        <f t="shared" si="8"/>
        <v>6.6191824577011005E-8</v>
      </c>
      <c r="U131" s="5">
        <f t="shared" si="9"/>
        <v>3.7611154263691375E-4</v>
      </c>
      <c r="V131" s="5">
        <f t="shared" si="10"/>
        <v>6.4540655342994213E-4</v>
      </c>
      <c r="W131" s="5">
        <f t="shared" si="11"/>
        <v>0</v>
      </c>
      <c r="X131" s="104">
        <f t="shared" si="12"/>
        <v>0.29441126696701636</v>
      </c>
      <c r="Z131" s="42"/>
      <c r="AS131" s="61"/>
      <c r="AT131" s="61"/>
    </row>
    <row r="132" spans="1:46" x14ac:dyDescent="0.2">
      <c r="A132" s="1">
        <v>41878.12109375</v>
      </c>
      <c r="B132" s="42">
        <v>0.99841370558375619</v>
      </c>
      <c r="C132" s="42">
        <f t="shared" si="1"/>
        <v>1.5862944162438053E-3</v>
      </c>
      <c r="D132" s="72">
        <f t="shared" si="2"/>
        <v>1.3324873096446366E-3</v>
      </c>
      <c r="E132" s="126">
        <f>(2*Table!$AC$16*0.147)/A132</f>
        <v>2.1886150302689316E-3</v>
      </c>
      <c r="F132" s="126">
        <f t="shared" si="3"/>
        <v>4.3772300605378631E-3</v>
      </c>
      <c r="G132" s="1">
        <f>IF((('Raw Data'!C132)/('Raw Data'!C$136)*100)&lt;0,0,('Raw Data'!C132)/('Raw Data'!C$136)*100)</f>
        <v>99.841370558375615</v>
      </c>
      <c r="H132" s="1">
        <f t="shared" si="4"/>
        <v>0.13324873096445344</v>
      </c>
      <c r="I132" s="83">
        <f t="shared" si="5"/>
        <v>3.899664642768963E-2</v>
      </c>
      <c r="J132" s="126">
        <f>'Raw Data'!F132/I132</f>
        <v>3.4169279456258625E-2</v>
      </c>
      <c r="K132" s="123">
        <f t="shared" si="6"/>
        <v>75.147062885873197</v>
      </c>
      <c r="L132" s="1">
        <f>A132*Table!$AC$9/$AC$16</f>
        <v>9403.2069209865476</v>
      </c>
      <c r="M132" s="1">
        <f>A132*Table!$AD$9/$AC$16</f>
        <v>3223.9566586239594</v>
      </c>
      <c r="N132" s="1">
        <f>ABS(A132*Table!$AE$9/$AC$16)</f>
        <v>4071.7080353080019</v>
      </c>
      <c r="O132" s="1">
        <f>($L132*(Table!$AC$10/Table!$AC$9)/(Table!$AC$12-Table!$AC$14))</f>
        <v>20169.899015415165</v>
      </c>
      <c r="P132" s="1">
        <f>ROUND(($N132*(Table!$AE$10/Table!$AE$9)/(Table!$AC$12-Table!$AC$13)),2)</f>
        <v>33429.46</v>
      </c>
      <c r="Q132" s="1">
        <f>'Raw Data'!C132</f>
        <v>1.5734999999999999</v>
      </c>
      <c r="R132" s="1">
        <f>'Raw Data'!C132/'Raw Data'!I$30*100</f>
        <v>14.417408446675822</v>
      </c>
      <c r="S132" s="128">
        <f t="shared" si="7"/>
        <v>1.7499999999999554E-2</v>
      </c>
      <c r="T132" s="128">
        <f t="shared" si="8"/>
        <v>3.0601466249891018E-8</v>
      </c>
      <c r="U132" s="5">
        <f t="shared" si="9"/>
        <v>3.442706613890448E-4</v>
      </c>
      <c r="V132" s="5">
        <f t="shared" si="10"/>
        <v>5.55738928195868E-4</v>
      </c>
      <c r="W132" s="5">
        <f t="shared" si="11"/>
        <v>1.0478203204697712E-8</v>
      </c>
      <c r="X132" s="104">
        <f t="shared" si="12"/>
        <v>0.29441127744521955</v>
      </c>
      <c r="Z132" s="42"/>
      <c r="AS132" s="61"/>
      <c r="AT132" s="61"/>
    </row>
    <row r="133" spans="1:46" x14ac:dyDescent="0.2">
      <c r="A133" s="1">
        <v>45775.00390625</v>
      </c>
      <c r="B133" s="42">
        <v>0.99923857868020294</v>
      </c>
      <c r="C133" s="42">
        <f t="shared" si="1"/>
        <v>7.6142131979706207E-4</v>
      </c>
      <c r="D133" s="72">
        <f t="shared" si="2"/>
        <v>8.2487309644674323E-4</v>
      </c>
      <c r="E133" s="126">
        <f>(2*Table!$AC$16*0.147)/A133</f>
        <v>2.0022955203437853E-3</v>
      </c>
      <c r="F133" s="126">
        <f t="shared" si="3"/>
        <v>4.0045910406875706E-3</v>
      </c>
      <c r="G133" s="1">
        <f>IF((('Raw Data'!C133)/('Raw Data'!C$136)*100)&lt;0,0,('Raw Data'!C133)/('Raw Data'!C$136)*100)</f>
        <v>99.923857868020292</v>
      </c>
      <c r="H133" s="1">
        <f t="shared" si="4"/>
        <v>8.2487309644676543E-2</v>
      </c>
      <c r="I133" s="83">
        <f t="shared" si="5"/>
        <v>3.8641201672564129E-2</v>
      </c>
      <c r="J133" s="126">
        <f>'Raw Data'!F133/I133</f>
        <v>2.1346983549748566E-2</v>
      </c>
      <c r="K133" s="123">
        <f t="shared" si="6"/>
        <v>82.139718958342513</v>
      </c>
      <c r="L133" s="1">
        <f>A133*Table!$AC$9/$AC$16</f>
        <v>10278.203087857135</v>
      </c>
      <c r="M133" s="1">
        <f>A133*Table!$AD$9/$AC$16</f>
        <v>3523.9553444081603</v>
      </c>
      <c r="N133" s="1">
        <f>ABS(A133*Table!$AE$9/$AC$16)</f>
        <v>4450.5924896699698</v>
      </c>
      <c r="O133" s="1">
        <f>($L133*(Table!$AC$10/Table!$AC$9)/(Table!$AC$12-Table!$AC$14))</f>
        <v>22046.767670221227</v>
      </c>
      <c r="P133" s="1">
        <f>ROUND(($N133*(Table!$AE$10/Table!$AE$9)/(Table!$AC$12-Table!$AC$13)),2)</f>
        <v>36540.17</v>
      </c>
      <c r="Q133" s="1">
        <f>'Raw Data'!C133</f>
        <v>1.5748</v>
      </c>
      <c r="R133" s="1">
        <f>'Raw Data'!C133/'Raw Data'!I$30*100</f>
        <v>14.429319874054707</v>
      </c>
      <c r="S133" s="128">
        <f t="shared" si="7"/>
        <v>1.0833333333333889E-2</v>
      </c>
      <c r="T133" s="128">
        <f t="shared" si="8"/>
        <v>1.2160910056735474E-8</v>
      </c>
      <c r="U133" s="5">
        <f t="shared" si="9"/>
        <v>3.1522269017402675E-4</v>
      </c>
      <c r="V133" s="5">
        <f t="shared" si="10"/>
        <v>4.7877894042134953E-4</v>
      </c>
      <c r="W133" s="5">
        <f t="shared" si="11"/>
        <v>5.4291078708600978E-9</v>
      </c>
      <c r="X133" s="104">
        <f t="shared" si="12"/>
        <v>0.29441128287432744</v>
      </c>
      <c r="Z133" s="42"/>
      <c r="AS133" s="61"/>
      <c r="AT133" s="61"/>
    </row>
    <row r="134" spans="1:46" x14ac:dyDescent="0.2">
      <c r="A134" s="1">
        <v>50072.80078125</v>
      </c>
      <c r="B134" s="42">
        <v>0.99961928934010147</v>
      </c>
      <c r="C134" s="42">
        <f t="shared" si="1"/>
        <v>3.8071065989853103E-4</v>
      </c>
      <c r="D134" s="72">
        <f t="shared" si="2"/>
        <v>3.8071065989853103E-4</v>
      </c>
      <c r="E134" s="126">
        <f>(2*Table!$AC$16*0.147)/A134</f>
        <v>1.8304365610705827E-3</v>
      </c>
      <c r="F134" s="126">
        <f t="shared" si="3"/>
        <v>3.6608731221411655E-3</v>
      </c>
      <c r="G134" s="1">
        <f>IF((('Raw Data'!C134)/('Raw Data'!C$136)*100)&lt;0,0,('Raw Data'!C134)/('Raw Data'!C$136)*100)</f>
        <v>99.961928934010146</v>
      </c>
      <c r="H134" s="1">
        <f t="shared" si="4"/>
        <v>3.8071065989853992E-2</v>
      </c>
      <c r="I134" s="83">
        <f t="shared" si="5"/>
        <v>3.8973493951114158E-2</v>
      </c>
      <c r="J134" s="126">
        <f>'Raw Data'!F134/I134</f>
        <v>9.7684508444654712E-3</v>
      </c>
      <c r="K134" s="123">
        <f t="shared" si="6"/>
        <v>89.85178443791186</v>
      </c>
      <c r="L134" s="1">
        <f>A134*Table!$AC$9/$AC$16</f>
        <v>11243.219479818084</v>
      </c>
      <c r="M134" s="1">
        <f>A134*Table!$AD$9/$AC$16</f>
        <v>3854.8181073662004</v>
      </c>
      <c r="N134" s="1">
        <f>ABS(A134*Table!$AE$9/$AC$16)</f>
        <v>4868.456844923262</v>
      </c>
      <c r="O134" s="1">
        <f>($L134*(Table!$AC$10/Table!$AC$9)/(Table!$AC$12-Table!$AC$14))</f>
        <v>24116.729900939696</v>
      </c>
      <c r="P134" s="1">
        <f>ROUND(($N134*(Table!$AE$10/Table!$AE$9)/(Table!$AC$12-Table!$AC$13)),2)</f>
        <v>39970.910000000003</v>
      </c>
      <c r="Q134" s="1">
        <f>'Raw Data'!C134</f>
        <v>1.5753999999999999</v>
      </c>
      <c r="R134" s="1">
        <f>'Raw Data'!C134/'Raw Data'!I$30*100</f>
        <v>14.434817455921886</v>
      </c>
      <c r="S134" s="128">
        <f t="shared" si="7"/>
        <v>5.0000000000007053E-3</v>
      </c>
      <c r="T134" s="128">
        <f t="shared" si="8"/>
        <v>5.048202855739703E-9</v>
      </c>
      <c r="U134" s="5">
        <f t="shared" si="9"/>
        <v>2.8827661386432918E-4</v>
      </c>
      <c r="V134" s="5">
        <f t="shared" si="10"/>
        <v>4.1163340508532033E-4</v>
      </c>
      <c r="W134" s="5">
        <f t="shared" si="11"/>
        <v>2.0940612525652336E-9</v>
      </c>
      <c r="X134" s="104">
        <f t="shared" si="12"/>
        <v>0.2944112849683887</v>
      </c>
      <c r="Z134" s="42"/>
      <c r="AS134" s="61"/>
      <c r="AT134" s="61"/>
    </row>
    <row r="135" spans="1:46" x14ac:dyDescent="0.2">
      <c r="A135" s="1">
        <v>54763.6796875</v>
      </c>
      <c r="B135" s="42">
        <v>0.99961928934010147</v>
      </c>
      <c r="C135" s="42">
        <f t="shared" si="1"/>
        <v>3.8071065989853103E-4</v>
      </c>
      <c r="D135" s="72">
        <f t="shared" si="2"/>
        <v>0</v>
      </c>
      <c r="E135" s="126">
        <f>(2*Table!$AC$16*0.147)/A135</f>
        <v>1.6736473112876713E-3</v>
      </c>
      <c r="F135" s="126">
        <f t="shared" si="3"/>
        <v>3.3472946225753426E-3</v>
      </c>
      <c r="G135" s="1">
        <f>IF((('Raw Data'!C135)/('Raw Data'!C$136)*100)&lt;0,0,('Raw Data'!C135)/('Raw Data'!C$136)*100)</f>
        <v>99.961928934010146</v>
      </c>
      <c r="H135" s="1">
        <f t="shared" si="4"/>
        <v>0</v>
      </c>
      <c r="I135" s="83">
        <f t="shared" si="5"/>
        <v>3.8890737621681382E-2</v>
      </c>
      <c r="J135" s="126">
        <f>'Raw Data'!F135/I135</f>
        <v>0</v>
      </c>
      <c r="K135" s="123">
        <f t="shared" si="6"/>
        <v>98.269205347719421</v>
      </c>
      <c r="L135" s="1">
        <f>A135*Table!$AC$9/$AC$16</f>
        <v>12296.49751246943</v>
      </c>
      <c r="M135" s="1">
        <f>A135*Table!$AD$9/$AC$16</f>
        <v>4215.9420042752326</v>
      </c>
      <c r="N135" s="1">
        <f>ABS(A135*Table!$AE$9/$AC$16)</f>
        <v>5324.5396116853417</v>
      </c>
      <c r="O135" s="1">
        <f>($L135*(Table!$AC$10/Table!$AC$9)/(Table!$AC$12-Table!$AC$14))</f>
        <v>26376.013540260472</v>
      </c>
      <c r="P135" s="1">
        <f>ROUND(($N135*(Table!$AE$10/Table!$AE$9)/(Table!$AC$12-Table!$AC$13)),2)</f>
        <v>43715.43</v>
      </c>
      <c r="Q135" s="1">
        <f>'Raw Data'!C135</f>
        <v>1.5753999999999999</v>
      </c>
      <c r="R135" s="1">
        <f>'Raw Data'!C135/'Raw Data'!I$30*100</f>
        <v>14.434817455921886</v>
      </c>
      <c r="S135" s="128">
        <f t="shared" si="7"/>
        <v>0</v>
      </c>
      <c r="T135" s="128">
        <f t="shared" si="8"/>
        <v>5.048202855739703E-9</v>
      </c>
      <c r="U135" s="5">
        <f t="shared" si="9"/>
        <v>2.6358377556606521E-4</v>
      </c>
      <c r="V135" s="5">
        <f t="shared" si="10"/>
        <v>3.5379066883883977E-4</v>
      </c>
      <c r="W135" s="5">
        <f t="shared" si="11"/>
        <v>0</v>
      </c>
      <c r="X135" s="104">
        <f t="shared" si="12"/>
        <v>0.2944112849683887</v>
      </c>
      <c r="AS135" s="61"/>
      <c r="AT135" s="61"/>
    </row>
    <row r="136" spans="1:46" x14ac:dyDescent="0.2">
      <c r="A136" s="1">
        <v>59436.1875</v>
      </c>
      <c r="B136" s="42">
        <v>1</v>
      </c>
      <c r="C136" s="42">
        <f t="shared" si="1"/>
        <v>0</v>
      </c>
      <c r="D136" s="72">
        <f t="shared" si="2"/>
        <v>3.8071065989853103E-4</v>
      </c>
      <c r="E136" s="126">
        <f>(2*Table!$AC$16*0.147)/A136</f>
        <v>1.5420754446136646E-3</v>
      </c>
      <c r="F136" s="126">
        <f t="shared" si="3"/>
        <v>3.0841508892273293E-3</v>
      </c>
      <c r="G136" s="1">
        <f>IF((('Raw Data'!C136)/('Raw Data'!C$136)*100)&lt;0,0,('Raw Data'!C136)/('Raw Data'!C$136)*100)</f>
        <v>100</v>
      </c>
      <c r="H136" s="1">
        <f t="shared" si="4"/>
        <v>3.8071065989853992E-2</v>
      </c>
      <c r="I136" s="83">
        <f t="shared" si="5"/>
        <v>3.5558322469202874E-2</v>
      </c>
      <c r="J136" s="126">
        <f>'Raw Data'!F136/I136</f>
        <v>1.070665412375022E-2</v>
      </c>
      <c r="K136" s="123">
        <f t="shared" si="6"/>
        <v>106.65366074471847</v>
      </c>
      <c r="L136" s="1">
        <f>A136*Table!$AC$9/$AC$16</f>
        <v>13345.650546401052</v>
      </c>
      <c r="M136" s="1">
        <f>A136*Table!$AD$9/$AC$16</f>
        <v>4575.6516159089324</v>
      </c>
      <c r="N136" s="1">
        <f>ABS(A136*Table!$AE$9/$AC$16)</f>
        <v>5778.836201606493</v>
      </c>
      <c r="O136" s="1">
        <f>($L136*(Table!$AC$10/Table!$AC$9)/(Table!$AC$12-Table!$AC$14))</f>
        <v>28626.449048479306</v>
      </c>
      <c r="P136" s="1">
        <f>ROUND(($N136*(Table!$AE$10/Table!$AE$9)/(Table!$AC$12-Table!$AC$13)),2)</f>
        <v>47445.29</v>
      </c>
      <c r="Q136" s="1">
        <f>'Raw Data'!C136</f>
        <v>1.5760000000000001</v>
      </c>
      <c r="R136" s="1">
        <f>'Raw Data'!C136/'Raw Data'!I$30*100</f>
        <v>14.440315037789068</v>
      </c>
      <c r="S136" s="128">
        <f t="shared" si="7"/>
        <v>5.0000000000007053E-3</v>
      </c>
      <c r="T136" s="128">
        <f t="shared" si="8"/>
        <v>0</v>
      </c>
      <c r="U136" s="5">
        <f t="shared" si="9"/>
        <v>2.4295493444610774E-4</v>
      </c>
      <c r="V136" s="5">
        <f t="shared" si="10"/>
        <v>3.08245606411492E-4</v>
      </c>
      <c r="W136" s="5">
        <f t="shared" si="11"/>
        <v>1.4862479230504793E-9</v>
      </c>
      <c r="X136" s="104">
        <f t="shared" si="12"/>
        <v>0.2944112864546366</v>
      </c>
      <c r="AS136" s="61"/>
      <c r="AT136" s="61"/>
    </row>
    <row r="137" spans="1:46" x14ac:dyDescent="0.2">
      <c r="A137" s="1"/>
      <c r="B137" s="42"/>
      <c r="C137" s="42"/>
      <c r="D137" s="63"/>
      <c r="E137" s="63"/>
      <c r="F137" s="63"/>
      <c r="G137" s="63"/>
      <c r="H137" s="63"/>
      <c r="I137" s="63"/>
      <c r="J137" s="126"/>
      <c r="K137" s="40"/>
      <c r="L137" s="1"/>
      <c r="M137" s="1"/>
      <c r="N137" s="1"/>
      <c r="O137" s="1"/>
      <c r="P137" s="1"/>
      <c r="Q137" s="1"/>
      <c r="AS137" s="61"/>
      <c r="AT137" s="61"/>
    </row>
    <row r="138" spans="1:46" x14ac:dyDescent="0.2">
      <c r="A138" s="1"/>
      <c r="B138" s="42"/>
      <c r="C138" s="42"/>
      <c r="D138" s="63"/>
      <c r="E138" s="63"/>
      <c r="F138" s="63"/>
      <c r="G138" s="63"/>
      <c r="H138" s="63"/>
      <c r="I138" s="63"/>
      <c r="J138" s="126"/>
      <c r="K138" s="40"/>
      <c r="L138" s="1"/>
      <c r="M138" s="1"/>
      <c r="N138" s="1"/>
      <c r="O138" s="1"/>
      <c r="P138" s="1"/>
      <c r="Q138" s="1"/>
      <c r="AS138" s="61"/>
      <c r="AT138" s="61"/>
    </row>
    <row r="139" spans="1:46" x14ac:dyDescent="0.2">
      <c r="A139" s="1"/>
      <c r="B139" s="42"/>
      <c r="C139" s="42"/>
      <c r="D139" s="63"/>
      <c r="E139" s="63"/>
      <c r="F139" s="63"/>
      <c r="G139" s="63"/>
      <c r="H139" s="63"/>
      <c r="I139" s="63"/>
      <c r="J139" s="126"/>
      <c r="K139" s="40"/>
      <c r="L139" s="1"/>
      <c r="M139" s="1"/>
      <c r="N139" s="1"/>
      <c r="O139" s="1"/>
      <c r="P139" s="1"/>
      <c r="Q139" s="1"/>
      <c r="AS139" s="61"/>
      <c r="AT139" s="61"/>
    </row>
    <row r="140" spans="1:46" x14ac:dyDescent="0.2">
      <c r="A140" s="1"/>
      <c r="B140" s="42"/>
      <c r="C140" s="42"/>
      <c r="D140" s="63"/>
      <c r="E140" s="63"/>
      <c r="F140" s="63"/>
      <c r="G140" s="63"/>
      <c r="H140" s="63"/>
      <c r="I140" s="63"/>
      <c r="J140" s="126"/>
      <c r="K140" s="40"/>
      <c r="L140" s="1"/>
      <c r="M140" s="1"/>
      <c r="N140" s="1"/>
      <c r="O140" s="1"/>
      <c r="P140" s="1"/>
      <c r="Q140" s="1"/>
      <c r="AS140" s="61"/>
      <c r="AT140" s="61"/>
    </row>
    <row r="141" spans="1:46" x14ac:dyDescent="0.2">
      <c r="A141" s="1"/>
      <c r="B141" s="42"/>
      <c r="C141" s="42"/>
      <c r="D141" s="63"/>
      <c r="E141" s="63"/>
      <c r="F141" s="63"/>
      <c r="G141" s="63"/>
      <c r="H141" s="63"/>
      <c r="I141" s="63"/>
      <c r="J141" s="126"/>
      <c r="K141" s="40"/>
      <c r="L141" s="1"/>
      <c r="M141" s="1"/>
      <c r="N141" s="1"/>
      <c r="O141" s="1"/>
      <c r="P141" s="1"/>
      <c r="Q141" s="1"/>
      <c r="AS141" s="61"/>
      <c r="AT141" s="61"/>
    </row>
    <row r="142" spans="1:46" x14ac:dyDescent="0.2">
      <c r="A142" s="1"/>
      <c r="B142" s="42"/>
      <c r="C142" s="42"/>
      <c r="D142" s="63"/>
      <c r="E142" s="63"/>
      <c r="F142" s="63"/>
      <c r="G142" s="63"/>
      <c r="H142" s="63"/>
      <c r="I142" s="63"/>
      <c r="J142" s="126"/>
      <c r="K142" s="40"/>
      <c r="L142" s="1"/>
      <c r="M142" s="1"/>
      <c r="N142" s="1"/>
      <c r="O142" s="1"/>
      <c r="P142" s="1"/>
      <c r="Q142" s="1"/>
      <c r="AS142" s="61"/>
      <c r="AT142" s="61"/>
    </row>
    <row r="143" spans="1:46" x14ac:dyDescent="0.2">
      <c r="J143" s="126"/>
      <c r="AS143" s="61"/>
      <c r="AT143" s="61"/>
    </row>
    <row r="144" spans="1:46" x14ac:dyDescent="0.2">
      <c r="J144" s="126"/>
      <c r="AS144" s="61"/>
      <c r="AT144" s="61"/>
    </row>
    <row r="145" spans="10:46" x14ac:dyDescent="0.2">
      <c r="J145" s="126"/>
      <c r="AS145" s="61"/>
      <c r="AT145" s="61"/>
    </row>
    <row r="146" spans="10:46" x14ac:dyDescent="0.2">
      <c r="J146" s="126"/>
      <c r="AS146" s="61"/>
      <c r="AT146" s="61"/>
    </row>
    <row r="147" spans="10:46" x14ac:dyDescent="0.2">
      <c r="J147" s="126"/>
      <c r="AS147" s="61"/>
      <c r="AT147" s="61"/>
    </row>
    <row r="148" spans="10:46" x14ac:dyDescent="0.2">
      <c r="J148" s="126"/>
      <c r="AS148" s="61"/>
      <c r="AT148" s="61"/>
    </row>
    <row r="149" spans="10:46" x14ac:dyDescent="0.2">
      <c r="J149" s="126"/>
      <c r="AS149" s="61"/>
      <c r="AT149" s="61"/>
    </row>
    <row r="150" spans="10:46" x14ac:dyDescent="0.2">
      <c r="J150" s="126"/>
      <c r="AS150" s="61"/>
      <c r="AT150" s="61"/>
    </row>
    <row r="151" spans="10:46" x14ac:dyDescent="0.2">
      <c r="J151" s="126"/>
      <c r="AS151" s="61"/>
      <c r="AT151" s="61"/>
    </row>
    <row r="152" spans="10:46" x14ac:dyDescent="0.2">
      <c r="J152" s="126"/>
      <c r="AS152" s="61"/>
      <c r="AT152" s="61"/>
    </row>
    <row r="153" spans="10:46" x14ac:dyDescent="0.2">
      <c r="J153" s="126"/>
      <c r="AS153" s="61"/>
      <c r="AT153" s="61"/>
    </row>
    <row r="154" spans="10:46" x14ac:dyDescent="0.2">
      <c r="J154" s="126"/>
      <c r="AS154" s="61"/>
      <c r="AT154" s="61"/>
    </row>
    <row r="155" spans="10:46" x14ac:dyDescent="0.2">
      <c r="J155" s="126"/>
      <c r="AS155" s="61"/>
      <c r="AT155" s="61"/>
    </row>
    <row r="156" spans="10:46" x14ac:dyDescent="0.2">
      <c r="J156" s="126"/>
      <c r="AS156" s="61"/>
      <c r="AT156" s="61"/>
    </row>
    <row r="157" spans="10:46" x14ac:dyDescent="0.2">
      <c r="J157" s="126"/>
      <c r="AS157" s="61"/>
      <c r="AT157" s="61"/>
    </row>
    <row r="158" spans="10:46" x14ac:dyDescent="0.2">
      <c r="J158" s="126"/>
      <c r="AS158" s="61"/>
      <c r="AT158" s="61"/>
    </row>
    <row r="159" spans="10:46" x14ac:dyDescent="0.2">
      <c r="J159" s="126"/>
      <c r="AS159" s="61"/>
      <c r="AT159" s="61"/>
    </row>
    <row r="160" spans="10:46" x14ac:dyDescent="0.2">
      <c r="J160" s="126"/>
      <c r="AS160" s="61"/>
      <c r="AT160" s="61"/>
    </row>
    <row r="161" spans="10:46" x14ac:dyDescent="0.2">
      <c r="J161" s="126"/>
      <c r="AS161" s="61"/>
      <c r="AT161" s="61"/>
    </row>
    <row r="162" spans="10:46" x14ac:dyDescent="0.2">
      <c r="J162" s="126"/>
    </row>
    <row r="163" spans="10:46" x14ac:dyDescent="0.2">
      <c r="J163" s="126"/>
    </row>
    <row r="164" spans="10:46" x14ac:dyDescent="0.2">
      <c r="J164" s="126"/>
    </row>
    <row r="165" spans="10:46" x14ac:dyDescent="0.2">
      <c r="J165" s="126"/>
    </row>
    <row r="166" spans="10:46" x14ac:dyDescent="0.2">
      <c r="J166" s="126"/>
    </row>
    <row r="167" spans="10:46" x14ac:dyDescent="0.2">
      <c r="J167" s="126"/>
    </row>
    <row r="168" spans="10:46" x14ac:dyDescent="0.2">
      <c r="J168" s="126"/>
    </row>
    <row r="169" spans="10:46" x14ac:dyDescent="0.2">
      <c r="J169" s="126"/>
    </row>
    <row r="170" spans="10:46" x14ac:dyDescent="0.2">
      <c r="J170" s="126"/>
    </row>
    <row r="171" spans="10:46" x14ac:dyDescent="0.2">
      <c r="J171" s="126"/>
    </row>
    <row r="172" spans="10:46" x14ac:dyDescent="0.2">
      <c r="J172" s="126"/>
    </row>
    <row r="173" spans="10:46" x14ac:dyDescent="0.2">
      <c r="J173" s="126"/>
    </row>
    <row r="174" spans="10:46" x14ac:dyDescent="0.2">
      <c r="J174" s="126"/>
    </row>
    <row r="175" spans="10:46" x14ac:dyDescent="0.2">
      <c r="J175" s="126"/>
    </row>
    <row r="176" spans="10:46" x14ac:dyDescent="0.2">
      <c r="J176" s="126"/>
    </row>
    <row r="177" spans="10:10" x14ac:dyDescent="0.2">
      <c r="J177" s="126"/>
    </row>
    <row r="178" spans="10:10" x14ac:dyDescent="0.2">
      <c r="J178" s="126"/>
    </row>
    <row r="179" spans="10:10" x14ac:dyDescent="0.2">
      <c r="J179" s="126"/>
    </row>
    <row r="180" spans="10:10" x14ac:dyDescent="0.2">
      <c r="J180" s="126"/>
    </row>
    <row r="181" spans="10:10" x14ac:dyDescent="0.2">
      <c r="J181" s="126"/>
    </row>
    <row r="182" spans="10:10" x14ac:dyDescent="0.2">
      <c r="J182" s="126"/>
    </row>
    <row r="183" spans="10:10" x14ac:dyDescent="0.2">
      <c r="J183" s="126"/>
    </row>
    <row r="184" spans="10:10" x14ac:dyDescent="0.2">
      <c r="J184" s="126"/>
    </row>
    <row r="185" spans="10:10" x14ac:dyDescent="0.2">
      <c r="J185" s="126"/>
    </row>
    <row r="186" spans="10:10" x14ac:dyDescent="0.2">
      <c r="J186" s="126"/>
    </row>
    <row r="187" spans="10:10" x14ac:dyDescent="0.2">
      <c r="J187" s="126"/>
    </row>
    <row r="188" spans="10:10" x14ac:dyDescent="0.2">
      <c r="J188" s="126"/>
    </row>
    <row r="189" spans="10:10" x14ac:dyDescent="0.2">
      <c r="J189" s="126"/>
    </row>
    <row r="190" spans="10:10" x14ac:dyDescent="0.2">
      <c r="J190" s="126"/>
    </row>
  </sheetData>
  <mergeCells count="3">
    <mergeCell ref="AR4:AT4"/>
    <mergeCell ref="AN4:AP4"/>
    <mergeCell ref="A5:P5"/>
  </mergeCells>
  <printOptions horizontalCentered="1"/>
  <pageMargins left="0.5" right="0.5" top="0.1" bottom="0.25" header="0" footer="0"/>
  <pageSetup scale="37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Raw Data</vt:lpstr>
      <vt:lpstr>Compilation</vt:lpstr>
      <vt:lpstr>Compilation 2</vt:lpstr>
      <vt:lpstr>Table</vt:lpstr>
      <vt:lpstr>Compilation!Print_Area</vt:lpstr>
      <vt:lpstr>'Compilation 2'!Print_Area</vt:lpstr>
      <vt:lpstr>'Raw Data'!Print_Area</vt:lpstr>
      <vt:lpstr>Table!Print_Area</vt:lpstr>
      <vt:lpstr>'Raw Data'!Print_Titles</vt:lpstr>
      <vt:lpstr>Table!Print_Titles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Badgett, Simon J</cp:lastModifiedBy>
  <dcterms:created xsi:type="dcterms:W3CDTF">2013-03-19T19:19:16Z</dcterms:created>
  <dcterms:modified xsi:type="dcterms:W3CDTF">2013-03-19T19:19:18Z</dcterms:modified>
</cp:coreProperties>
</file>